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30" windowWidth="18915" windowHeight="12075" activeTab="2"/>
  </bookViews>
  <sheets>
    <sheet name="Intro" sheetId="5" r:id="rId1"/>
    <sheet name="Histoire familiale" sheetId="1" r:id="rId2"/>
    <sheet name="Famille" sheetId="4" r:id="rId3"/>
    <sheet name="Données" sheetId="2" r:id="rId4"/>
  </sheets>
  <calcPr calcId="125725"/>
</workbook>
</file>

<file path=xl/calcChain.xml><?xml version="1.0" encoding="utf-8"?>
<calcChain xmlns="http://schemas.openxmlformats.org/spreadsheetml/2006/main">
  <c r="I26" i="4"/>
  <c r="H26"/>
  <c r="G26"/>
  <c r="L35" i="2"/>
  <c r="K35" s="1"/>
  <c r="L34"/>
  <c r="K34" s="1"/>
  <c r="L32"/>
  <c r="L10"/>
  <c r="D25" i="4" s="1"/>
  <c r="A37" i="1"/>
  <c r="A38"/>
  <c r="A39"/>
  <c r="A30"/>
  <c r="D28" s="1"/>
  <c r="A26"/>
  <c r="A27"/>
  <c r="A28"/>
  <c r="F28" s="1"/>
  <c r="A29"/>
  <c r="D29" s="1"/>
  <c r="A31"/>
  <c r="A32"/>
  <c r="A33"/>
  <c r="A34"/>
  <c r="A35"/>
  <c r="A36"/>
  <c r="A25"/>
  <c r="A24"/>
  <c r="A18"/>
  <c r="A19"/>
  <c r="A20"/>
  <c r="A21"/>
  <c r="A8"/>
  <c r="A9"/>
  <c r="A10"/>
  <c r="A11"/>
  <c r="A12"/>
  <c r="A13"/>
  <c r="A14"/>
  <c r="A15"/>
  <c r="A16"/>
  <c r="A17"/>
  <c r="I30" i="4"/>
  <c r="H30"/>
  <c r="G30"/>
  <c r="I29"/>
  <c r="H29"/>
  <c r="G29"/>
  <c r="I28"/>
  <c r="H28"/>
  <c r="G28"/>
  <c r="I27"/>
  <c r="H27"/>
  <c r="G27"/>
  <c r="I25"/>
  <c r="H25"/>
  <c r="G25"/>
  <c r="I22"/>
  <c r="H22"/>
  <c r="G22"/>
  <c r="I21"/>
  <c r="H21"/>
  <c r="G21"/>
  <c r="I20"/>
  <c r="H20"/>
  <c r="G20"/>
  <c r="I19"/>
  <c r="H19"/>
  <c r="G19"/>
  <c r="I18"/>
  <c r="H18"/>
  <c r="G18"/>
  <c r="I17"/>
  <c r="H17"/>
  <c r="G17"/>
  <c r="I14"/>
  <c r="H14"/>
  <c r="G14"/>
  <c r="I13"/>
  <c r="H13"/>
  <c r="G13"/>
  <c r="I12"/>
  <c r="H12"/>
  <c r="G12"/>
  <c r="I11"/>
  <c r="H11"/>
  <c r="G11"/>
  <c r="I10"/>
  <c r="H10"/>
  <c r="G10"/>
  <c r="I9"/>
  <c r="B18" s="1"/>
  <c r="H9"/>
  <c r="B10" s="1"/>
  <c r="E10" s="1"/>
  <c r="G9"/>
  <c r="B2" s="1"/>
  <c r="G4"/>
  <c r="H2"/>
  <c r="G2"/>
  <c r="D26" l="1"/>
  <c r="B6"/>
  <c r="E6" s="1"/>
  <c r="B22"/>
  <c r="D22" s="1"/>
  <c r="D2"/>
  <c r="D18"/>
  <c r="B11"/>
  <c r="D11" s="1"/>
  <c r="B5"/>
  <c r="D5" s="1"/>
  <c r="B15"/>
  <c r="D15" s="1"/>
  <c r="B21"/>
  <c r="D21" s="1"/>
  <c r="B3"/>
  <c r="E3" s="1"/>
  <c r="E18"/>
  <c r="D10"/>
  <c r="E2"/>
  <c r="B12"/>
  <c r="B7"/>
  <c r="D7" s="1"/>
  <c r="B13"/>
  <c r="E13" s="1"/>
  <c r="B19"/>
  <c r="E19" s="1"/>
  <c r="B23"/>
  <c r="D23" s="1"/>
  <c r="B4"/>
  <c r="E4" s="1"/>
  <c r="B14"/>
  <c r="E14" s="1"/>
  <c r="B20"/>
  <c r="E20" s="1"/>
  <c r="E11" l="1"/>
  <c r="D6"/>
  <c r="E23"/>
  <c r="E7"/>
  <c r="E15"/>
  <c r="D14"/>
  <c r="E22"/>
  <c r="E21"/>
  <c r="D3"/>
  <c r="D13"/>
  <c r="D4"/>
  <c r="E5"/>
  <c r="D12"/>
  <c r="E12"/>
  <c r="D20"/>
  <c r="D19"/>
  <c r="A6" i="1" l="1"/>
  <c r="E85" i="2"/>
  <c r="E86"/>
  <c r="D86"/>
  <c r="D84"/>
  <c r="C84" s="1"/>
  <c r="D81"/>
  <c r="C81" s="1"/>
  <c r="D80"/>
  <c r="F80" s="1"/>
  <c r="D78"/>
  <c r="C78" s="1"/>
  <c r="D77"/>
  <c r="F77" s="1"/>
  <c r="D76"/>
  <c r="C76" s="1"/>
  <c r="D75"/>
  <c r="C75" s="1"/>
  <c r="D73"/>
  <c r="C73" s="1"/>
  <c r="D70"/>
  <c r="C70" s="1"/>
  <c r="E69"/>
  <c r="D69"/>
  <c r="F69" s="1"/>
  <c r="D67"/>
  <c r="C67" s="1"/>
  <c r="D62"/>
  <c r="C62" s="1"/>
  <c r="D61"/>
  <c r="C61" s="1"/>
  <c r="D59"/>
  <c r="C59" s="1"/>
  <c r="H48"/>
  <c r="D58"/>
  <c r="C58" s="1"/>
  <c r="D56"/>
  <c r="C56" s="1"/>
  <c r="E49"/>
  <c r="C49" s="1"/>
  <c r="D48"/>
  <c r="C48" s="1"/>
  <c r="D46"/>
  <c r="C46" s="1"/>
  <c r="D44"/>
  <c r="C44" s="1"/>
  <c r="D42"/>
  <c r="C42" s="1"/>
  <c r="D23"/>
  <c r="D40"/>
  <c r="C40" s="1"/>
  <c r="D39"/>
  <c r="C39" s="1"/>
  <c r="D38"/>
  <c r="D37"/>
  <c r="C37" s="1"/>
  <c r="D35"/>
  <c r="C35" s="1"/>
  <c r="D33"/>
  <c r="C33" s="1"/>
  <c r="D32"/>
  <c r="C32" s="1"/>
  <c r="D31"/>
  <c r="C31" s="1"/>
  <c r="D27"/>
  <c r="C27" s="1"/>
  <c r="D25"/>
  <c r="C25" s="1"/>
  <c r="E24"/>
  <c r="D24"/>
  <c r="F24" s="1"/>
  <c r="D22"/>
  <c r="C22" s="1"/>
  <c r="D18"/>
  <c r="C18" s="1"/>
  <c r="E17"/>
  <c r="D17"/>
  <c r="E16"/>
  <c r="D16"/>
  <c r="D4"/>
  <c r="G4" s="1"/>
  <c r="D13"/>
  <c r="C13" s="1"/>
  <c r="A7" i="1"/>
  <c r="D10" i="2"/>
  <c r="C10" s="1"/>
  <c r="D9"/>
  <c r="E9"/>
  <c r="E8"/>
  <c r="D8"/>
  <c r="D3"/>
  <c r="D5"/>
  <c r="C5" s="1"/>
  <c r="E4"/>
  <c r="E5"/>
  <c r="D2"/>
  <c r="C2" s="1"/>
  <c r="G2" i="1"/>
  <c r="D30" l="1"/>
  <c r="G86" i="2"/>
  <c r="C86"/>
  <c r="G77"/>
  <c r="G80"/>
  <c r="C80"/>
  <c r="G76"/>
  <c r="C77"/>
  <c r="F76"/>
  <c r="C69"/>
  <c r="G69"/>
  <c r="F61"/>
  <c r="G61"/>
  <c r="F39"/>
  <c r="F58"/>
  <c r="E30" i="1" s="1"/>
  <c r="G58" i="2"/>
  <c r="F30" i="1" s="1"/>
  <c r="F48" i="2"/>
  <c r="G39"/>
  <c r="F32"/>
  <c r="G32"/>
  <c r="G24"/>
  <c r="C24"/>
  <c r="C4"/>
  <c r="C17"/>
  <c r="C16"/>
  <c r="F4"/>
  <c r="C9"/>
  <c r="C8"/>
  <c r="A5" i="1"/>
  <c r="F5" s="1"/>
  <c r="G4"/>
  <c r="F31" l="1"/>
  <c r="D31"/>
  <c r="E31"/>
  <c r="D32" s="1"/>
  <c r="G5"/>
  <c r="E5"/>
  <c r="D5"/>
  <c r="F32" l="1"/>
  <c r="E32"/>
  <c r="E6"/>
  <c r="D7" s="1"/>
  <c r="F6"/>
  <c r="G6" s="1"/>
  <c r="D6"/>
  <c r="D33" l="1"/>
  <c r="E33"/>
  <c r="F33"/>
  <c r="F7"/>
  <c r="G7" s="1"/>
  <c r="E7"/>
  <c r="D34" l="1"/>
  <c r="F34"/>
  <c r="E34"/>
  <c r="D35" s="1"/>
  <c r="F8"/>
  <c r="G8" s="1"/>
  <c r="E8"/>
  <c r="D8"/>
  <c r="F35" l="1"/>
  <c r="E35"/>
  <c r="E9"/>
  <c r="F9"/>
  <c r="G9" s="1"/>
  <c r="D9"/>
  <c r="D36" l="1"/>
  <c r="E36"/>
  <c r="F37" s="1"/>
  <c r="F36"/>
  <c r="D10"/>
  <c r="F10"/>
  <c r="G10" s="1"/>
  <c r="E10"/>
  <c r="D37" l="1"/>
  <c r="E37"/>
  <c r="E11"/>
  <c r="F11"/>
  <c r="G11" s="1"/>
  <c r="D11"/>
  <c r="F38" l="1"/>
  <c r="E38"/>
  <c r="D38"/>
  <c r="E12"/>
  <c r="E13" s="1"/>
  <c r="F12"/>
  <c r="G12" s="1"/>
  <c r="D12"/>
  <c r="D39" l="1"/>
  <c r="E39"/>
  <c r="F39"/>
  <c r="F14"/>
  <c r="F13"/>
  <c r="G13" s="1"/>
  <c r="D13"/>
  <c r="D14"/>
  <c r="E14"/>
  <c r="D15" s="1"/>
  <c r="G14" l="1"/>
  <c r="F15"/>
  <c r="E15"/>
  <c r="D16" s="1"/>
  <c r="G15" l="1"/>
  <c r="F16"/>
  <c r="E16"/>
  <c r="E17" s="1"/>
  <c r="G16" l="1"/>
  <c r="D18"/>
  <c r="F18"/>
  <c r="F17"/>
  <c r="D17"/>
  <c r="E18"/>
  <c r="F19" s="1"/>
  <c r="G17" l="1"/>
  <c r="G24" s="1"/>
  <c r="D19"/>
  <c r="E19"/>
  <c r="F20" s="1"/>
  <c r="G18" l="1"/>
  <c r="G19" s="1"/>
  <c r="G20" s="1"/>
  <c r="E20"/>
  <c r="F21" s="1"/>
  <c r="D20"/>
  <c r="G21" l="1"/>
  <c r="E21"/>
  <c r="D21"/>
  <c r="G25" l="1"/>
  <c r="G26" s="1"/>
  <c r="G27" s="1"/>
  <c r="G28" s="1"/>
  <c r="G29" s="1"/>
  <c r="G30" s="1"/>
  <c r="G31" s="1"/>
  <c r="G32" s="1"/>
  <c r="G33" s="1"/>
  <c r="G34" s="1"/>
  <c r="G35" s="1"/>
  <c r="G36" s="1"/>
  <c r="G37" s="1"/>
  <c r="G38" s="1"/>
  <c r="G39" s="1"/>
  <c r="G41" s="1"/>
</calcChain>
</file>

<file path=xl/sharedStrings.xml><?xml version="1.0" encoding="utf-8"?>
<sst xmlns="http://schemas.openxmlformats.org/spreadsheetml/2006/main" count="226" uniqueCount="143">
  <si>
    <t>D20</t>
  </si>
  <si>
    <t>Année</t>
  </si>
  <si>
    <t>Histoire</t>
  </si>
  <si>
    <t>Mort</t>
  </si>
  <si>
    <t>grand-père</t>
  </si>
  <si>
    <t>Arrière-grand-père</t>
  </si>
  <si>
    <t>Gloire</t>
  </si>
  <si>
    <t>Gloire gagnée</t>
  </si>
  <si>
    <t>Gloire (total)</t>
  </si>
  <si>
    <t>Grand-père</t>
  </si>
  <si>
    <t>Mort quelconque (homme)</t>
  </si>
  <si>
    <t>Mort en bataille (vengeance personnelle)</t>
  </si>
  <si>
    <t>Mort en bataille (terre voisine)</t>
  </si>
  <si>
    <t>Mort en bataille (envahisseurs étrangers)</t>
  </si>
  <si>
    <t>Mort dans un accident de chasse</t>
  </si>
  <si>
    <t>Mort accidentelle</t>
  </si>
  <si>
    <t>Mort de causes naturelles</t>
  </si>
  <si>
    <t>Précision</t>
  </si>
  <si>
    <t>Rien de significatif</t>
  </si>
  <si>
    <t>Service de garnison :  tué par des pictes</t>
  </si>
  <si>
    <t>Service de garnison  : a survécu aux pillages</t>
  </si>
  <si>
    <t>Passion</t>
  </si>
  <si>
    <t>441-442</t>
  </si>
  <si>
    <t>Service de garnison :  tué par des pillards</t>
  </si>
  <si>
    <t>Disparu, n'est jamais revenu…</t>
  </si>
  <si>
    <t>Service de garnison  : n'a vu que peu de combats</t>
  </si>
  <si>
    <t>447-449</t>
  </si>
  <si>
    <t>Rien de significatif n'arrive</t>
  </si>
  <si>
    <t>Participe au mariage de Vortigern et Rowena</t>
  </si>
  <si>
    <t>Participe au mariage de Vortigern et Rowena et remarque qu'elle est enceinte</t>
  </si>
  <si>
    <t>Mettez une lettre dans la case suivante si, en 450, votre famille s'est plainte du fait que Vortigern favorise plus les nouveaux venus (les Saxons) que ses sujets originaires de l'îme (les Bretons).</t>
  </si>
  <si>
    <t>x</t>
  </si>
  <si>
    <t>452-454</t>
  </si>
  <si>
    <t>455-456</t>
  </si>
  <si>
    <t>458-459</t>
  </si>
  <si>
    <t>Gloire GP</t>
  </si>
  <si>
    <t>Père se marie avec une fille d'écuyer</t>
  </si>
  <si>
    <t>Père se marie avec une fille de chevalier maisnier</t>
  </si>
  <si>
    <t>Père se marie avec une fille de chevalier vassal</t>
  </si>
  <si>
    <t>Père se marie avec la plus jeune fille d'un baron</t>
  </si>
  <si>
    <t>Père se marie avec l'héritière d'un riche vassal</t>
  </si>
  <si>
    <t>Année de votre naissance</t>
  </si>
  <si>
    <t>466-467</t>
  </si>
  <si>
    <t>père</t>
  </si>
  <si>
    <t>469-472</t>
  </si>
  <si>
    <t xml:space="preserve">Gain de gloire dans les combats </t>
  </si>
  <si>
    <t>474-476</t>
  </si>
  <si>
    <t>Histoire familliale</t>
  </si>
  <si>
    <t>Service de garnison  : a été tué par des pillards</t>
  </si>
  <si>
    <t>478-479</t>
  </si>
  <si>
    <t>481-483</t>
  </si>
  <si>
    <t>Service de garnison  : assiste à quelques combats</t>
  </si>
  <si>
    <t>Côté paternel</t>
  </si>
  <si>
    <t>Marié / Célibataire</t>
  </si>
  <si>
    <t>Vivant / Mort</t>
  </si>
  <si>
    <t>Nombre d'oncles et tantes</t>
  </si>
  <si>
    <t>Nombre de frères et sœurs</t>
  </si>
  <si>
    <t>Paternel</t>
  </si>
  <si>
    <t>Maternel</t>
  </si>
  <si>
    <t>Frères et sœurs</t>
  </si>
  <si>
    <t>Sexe</t>
  </si>
  <si>
    <t>Côté maternel</t>
  </si>
  <si>
    <t>Marié / célibataire</t>
  </si>
  <si>
    <t>Frère et sœurs</t>
  </si>
  <si>
    <t>Vivant / mort</t>
  </si>
  <si>
    <t>444-445</t>
  </si>
  <si>
    <t>Père</t>
  </si>
  <si>
    <t>Service de garnison n'a vu que peu de combats.</t>
  </si>
  <si>
    <t>Nom</t>
  </si>
  <si>
    <t>Caractéristiques familliales</t>
  </si>
  <si>
    <t>Ambition sociale (+5 en Courtoisie)</t>
  </si>
  <si>
    <t>Inclination spirituelle (+5 en Religion)</t>
  </si>
  <si>
    <t>Proche du peuple (+5 en Folklore)</t>
  </si>
  <si>
    <t>Empathie avec les chevaux (+5 en Equitation)</t>
  </si>
  <si>
    <t>Vigilant (+5 en Vigilance)</t>
  </si>
  <si>
    <t>Forestier (+5 en Chasse)</t>
  </si>
  <si>
    <t>Agile (+10 en Danse)</t>
  </si>
  <si>
    <t>Thérapeute (+5 en Premiers Secours)</t>
  </si>
  <si>
    <t>Charme naturel (+10 en Séduction)</t>
  </si>
  <si>
    <t>Physionomiste (+10 en Reconnaitre)</t>
  </si>
  <si>
    <t>Calculateur (+5 en Intrigue)</t>
  </si>
  <si>
    <t>Comme un poisson dans l'eau (+10 en Natation)</t>
  </si>
  <si>
    <t>Orateur né (+10 en Eloquence)</t>
  </si>
  <si>
    <t>Virtuose (+10 en Jouer [tous les instruments])</t>
  </si>
  <si>
    <t>Art de la formule (+10 en Composition)</t>
  </si>
  <si>
    <t>Ornithophile (+10 en Fauconnerie)</t>
  </si>
  <si>
    <t>Joueur perspicace (+10 en Jouer)</t>
  </si>
  <si>
    <t>Héritage</t>
  </si>
  <si>
    <t>Argent : 30£ en vieilles pièces romaines</t>
  </si>
  <si>
    <t>Caractéristique familliale :</t>
  </si>
  <si>
    <t>Héritage famillial :</t>
  </si>
  <si>
    <t>Oie merveilleuse : augmente les revenus du manoir de 1£/an
1d20 à la phase hivernale: 
    1-3 : elle décède
    4-6 : elle n'apporte pas le bonus mais donne naissance à une nouvelle oie merveilleuse</t>
  </si>
  <si>
    <t>Fourreau : réussite automatique des jets de DEX pour ne pas chuter en combat</t>
  </si>
  <si>
    <t>Chatte merveilleuse : attrape tous les rats (augmente les revenus du manoir de 1£/an)
1d20 à la phase hivernale: 
    1-3 : elle décède
    4-6 : elle n'apporte pas le bonus mais donne naissance à un adorable petit chaton aussi doué que sa mère</t>
  </si>
  <si>
    <t>Selle fantastique : +2 en Equitation pour éviter de démonter</t>
  </si>
  <si>
    <t>Lance bénite : +2 en Lance jusqu'à ce qu'elle se brise, si les morceaux sont réunis, elle peut être réparée pour un coût de 1£.</t>
  </si>
  <si>
    <t>Glaive de bronze : +2 en Epée mais peut se briser contre les autres types d'armes.
Valeur  : intact 2£, nulle si brisée. Réparation possibles pour 2£.</t>
  </si>
  <si>
    <t>Ecu merveilleux :
   [Chrétien] : +4 Blessure Majeure si Pieux supérieur ou égal à 16.
   [Païen] : +4 Blessure Majeure si Pragmatique supérieur ou égal à 16.</t>
  </si>
  <si>
    <t>Fers à cheval magiques : +2 en Mouvement pour le cheval équipé. 
En cas d'échec à un test d'Equitation, un fer se déloge et est perdu (de même que le bonus magique). 
Pour le retrouver il faut réussir un jet de Vigilance sur le lieu de la perte.</t>
  </si>
  <si>
    <t>Pourpoint merveilleux : si vous êtes affecté par une Blessure Majeure, faites un jet de Amour (Famille).
Une réussite réduit la blessure à votre Seuil de Blessure Majeure moins 1.
Une réussite critique divise par deux la blessure.
Lancer 1d20, si le résultat est entre 1 et 15, alors le pourpoint merveilleux est détruit.</t>
  </si>
  <si>
    <t>[Chrétien] Phalange de Saint Alban (relique) : +3 en Pieux
[Païen] Crin d'un cheval d'Epona (objet sacré) : +3 en Equitation</t>
  </si>
  <si>
    <t>[Chrétien] Dent de Saint Germanus (relique) : entonnez un Alleluia et faites un jet de Amour (Dieu). 
   Une réussite inspire l'effroi à tous les Païens présents qui doivent réussir un jet de Valeureux ou s'enfuir.
   De plus, vous infligez un malus de 20 points aux valeurs de Valeureux des Païens à ce jet, à répartir comme vous le souhaitez.
[Païen] Boucle de cheveux de Gywdion (objet sacré) : peut être utilisé une fois par jour pour obtenir un succès automatique à un jet de Sobre.
   Après utilisation, un résultat de 1-5 sur 1d20 indique qu'elle est détruite.</t>
  </si>
  <si>
    <t>Un chargeur et un roncin camarguais</t>
  </si>
  <si>
    <t>Un destrier</t>
  </si>
  <si>
    <t>Les Saxons mènent de nombreux pillages mais sont battus à la bataille de Carlion.</t>
  </si>
  <si>
    <t>Le roi Constantin est tué par un de ses gardes.</t>
  </si>
  <si>
    <t>A la demande du Duc Vortigern de Gewessi, le Collège suprême choisit Constans, fils de Constantin, comme Roi.</t>
  </si>
  <si>
    <t>Le Roi Constans est assassiné par ses gardes pictes. Le Duc Vortigern devient Roi. Un prélat du Pape, Germanus le Saint, arrive en Bretagne pour combattre le christianisme breton.</t>
  </si>
  <si>
    <t>Les Pictes préparent une invasion massive.</t>
  </si>
  <si>
    <t>Le Roi Vortigern engage les Saxons des Rois Hengest et Horsa pour combattre les Pictes. La bataille de Lincoln est une grande victoire des Bretons et de leurs alliés.</t>
  </si>
  <si>
    <t>Vortigern utilise les Saxons pour repousser les Pictes au Nord, épargnant ainsi sa propre armée. De nombreux Saxons arrivent sur l'île avec leur famille.</t>
  </si>
  <si>
    <t>L'avancée des Huns sur Rome est arrêtée par Aetius à la bataille de Chalon à laquelle Vortigern à envoyé un contingent de Bretons mécontents.</t>
  </si>
  <si>
    <t>Les Irlandais colonisent Dal Riada. Vortigern lance des pillages en Irlande.</t>
  </si>
  <si>
    <t>Les Vandales sont entrés dans Rome. Vortigern chassent les Irlandais et installe les Saxons en Nohaut et Deira. Des navires entiers de Saxons débarquent du continent.</t>
  </si>
  <si>
    <t>Les Bretons de l'Est se rebellent mais sont battus par Vortigern et ses Saxons à la bataille du Kent. De nombreux Bretons s'exilent en Armorique.</t>
  </si>
  <si>
    <t>De nombreux Bretons émigrent en Armorique. Votre grand-père reste fidèle au Comté de Salisbury.</t>
  </si>
  <si>
    <t>Père fait chevalier par le Comte Reginald de Salisbury. Service de garnison n'a vu que peu de combats.</t>
  </si>
  <si>
    <t>La rébellion se généralise. Le Comte de Salisbury se révolte et colbat à la bataille de Cambridge.</t>
  </si>
  <si>
    <t>Les nobles de Bretagne sont traiteusement assassinés par les Saxons au cours de la "Nuit des longs couteaux" et une grande partie de leurs armées y est massacrée. Le Comte de Salisbury y meurt.</t>
  </si>
  <si>
    <t>Votre père épouse une veuve qui possède un manoir.</t>
  </si>
  <si>
    <t>Vortigern et les Saxons pillent la Bretagne. Vortigern échappe aux Saxons et construit une forteresse à Gomeret. Le jeune Merlin fait sa première apparition.</t>
  </si>
  <si>
    <t>Aurelius Ambrosius , frèe de Constans, accoste au Hampshire avec une armée venannt d'Armorique. Sa bannière est un dragon rouge. Il remporte le siège de Carlion et soumet tousceux qu'il rencontre.</t>
  </si>
  <si>
    <t>Aurelius Ambrosius assiège Vortigern sur le Mont Snowdon. Vortigern est tué et son armée dispersée. Aurelius est élu Haut-Roi et prend le titre de Pendragon.</t>
  </si>
  <si>
    <t>De nombreux Saxons arrive dans le Kent. Aurelius maintient une paix précaire avec les Saxons, les Irlandais et les Pictes malgré de nombreux pillages. Son jeune frère, Uther, se fait une renommée de grand guerrier en contrant ces pillages.</t>
  </si>
  <si>
    <t>La bataille de Winsor est une  victoire majeure des Saxons contre Aurelius.</t>
  </si>
  <si>
    <t>Pillages par les Saxons du Kent.</t>
  </si>
  <si>
    <r>
      <t xml:space="preserve">Le Roi saxon </t>
    </r>
    <r>
      <rPr>
        <sz val="11"/>
        <color theme="1"/>
        <rFont val="Calibri"/>
        <family val="2"/>
      </rPr>
      <t>Æ</t>
    </r>
    <r>
      <rPr>
        <sz val="11"/>
        <color theme="1"/>
        <rFont val="Calibri"/>
        <family val="2"/>
        <scheme val="minor"/>
      </rPr>
      <t>lle débarque dans le Sud de la bretagne, s'y installe et renomme la région Saxe du Sud (Sussex). Aurelius échoue à les déloger.</t>
    </r>
  </si>
  <si>
    <t>Bien qu'empoisonné, Aurelius remporte la bataille de Salisbury, aidé de son frère Uther qui prend les Saxons à revert. Aurelius est enterré à la Danse des Géants (Stonehenge). Uther est nommé Pendragon.</t>
  </si>
  <si>
    <t>Les Saxons installent leurs familles sur les terres qu'ils contrôlent.</t>
  </si>
  <si>
    <t>De nouveaux Saxons débarquent en Diera, attaquent les terres de Malahaut et assiègent Eburacum. Uther se précipite et subit de nombreuses pertes au Mont Damen. Uther s'en réchappe et abbat les Saxons alors qu'ils êtent leur victoire.</t>
  </si>
  <si>
    <t>Vous allez être adoubé.</t>
  </si>
  <si>
    <t>Uther lève de nouvelles troupes et ordonne que tous les écuyers devant être faits chevaliers se rassemblent au château de Windsor pour être adoubés.</t>
  </si>
  <si>
    <t>Aurelius détruit les flottes saxonnes et porte la guerre sur le continent, en Frisie. Pillage saxons sur Salisbury.</t>
  </si>
  <si>
    <t>Faites un copier-coller par valeurs des onglets Histoire familiale et Famille.</t>
  </si>
  <si>
    <t>Compréhension des Faës (+5 en Connaissance des Faës)</t>
  </si>
  <si>
    <t>Voix cristalline (+5 en Chant)</t>
  </si>
  <si>
    <t>Bibliophile (+5 en Lire)</t>
  </si>
  <si>
    <t>[Chrétien] Sang de Joseph d'Arimathie (relique) : son propriétiare peut ouvrir miraculeusement une porte de prison sur un jet réussi de Pieux, et ce même s'il ne porte pas physiquement la relique.
[Païen] Boucle de cheveux d'Arianrhod (objet sacré) : peut être utilisé une fois par jour pour obtenir un succès automatique à un jet de Luxurieux. 
   Après utilisation, un résultat de 1-5 sur 1d20 indique qu'elle est détruite.</t>
  </si>
  <si>
    <t>Chant du guerrier : un Faërie susurre une chanson à votre oreille pendant votre sommeil.
Un jet réussi en Chant vous permet d'accorder à tout allié qui entend la chanson un bonus de +3 en Energique et Valeureux.</t>
  </si>
  <si>
    <t>Anneau merveilleux d'ouïe fine : +2 en Vigilance</t>
  </si>
  <si>
    <t>Puissant chargeur, robe noisette : inflige 7d6 de dommages</t>
  </si>
  <si>
    <t>Les dates en italique indiquent qu'il manquait des informations dans le livre de base.</t>
  </si>
  <si>
    <t>Vortigern épouse Rowena la file du Roi saxon Hengest. En échange, Hengest reçoit le Kent.</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</si>
</sst>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s>
  <fills count="2">
    <fill>
      <patternFill patternType="none"/>
    </fill>
    <fill>
      <patternFill patternType="gray125"/>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108">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Font="1"/>
    <xf numFmtId="0" fontId="0" fillId="0" borderId="0" xfId="0" applyBorder="1"/>
    <xf numFmtId="0" fontId="0" fillId="0" borderId="0" xfId="0" applyAlignment="1">
      <alignment wrapText="1"/>
    </xf>
    <xf numFmtId="0" fontId="0" fillId="0" borderId="0" xfId="0"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1" fillId="0" borderId="6" xfId="0" applyFont="1"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1" fillId="0" borderId="6" xfId="0" applyFont="1" applyBorder="1" applyAlignment="1">
      <alignment wrapText="1"/>
    </xf>
    <xf numFmtId="0" fontId="0" fillId="0" borderId="8" xfId="0" applyBorder="1" applyAlignment="1">
      <alignment wrapText="1"/>
    </xf>
    <xf numFmtId="0" fontId="0" fillId="0" borderId="5" xfId="0" applyBorder="1" applyAlignment="1">
      <alignment wrapText="1"/>
    </xf>
    <xf numFmtId="0" fontId="0" fillId="0" borderId="13" xfId="0" applyBorder="1" applyAlignment="1">
      <alignment wrapText="1"/>
    </xf>
    <xf numFmtId="0" fontId="0" fillId="0" borderId="16" xfId="0" applyBorder="1" applyAlignment="1">
      <alignment wrapText="1"/>
    </xf>
    <xf numFmtId="0" fontId="0" fillId="0" borderId="0" xfId="0" applyBorder="1" applyAlignment="1">
      <alignment wrapText="1"/>
    </xf>
    <xf numFmtId="0" fontId="0" fillId="0" borderId="16" xfId="0" applyFill="1" applyBorder="1" applyAlignment="1">
      <alignment wrapText="1"/>
    </xf>
    <xf numFmtId="0" fontId="0" fillId="0" borderId="5" xfId="0" applyFont="1" applyBorder="1" applyAlignment="1">
      <alignment horizontal="center" vertical="center"/>
    </xf>
    <xf numFmtId="0" fontId="0" fillId="0" borderId="5" xfId="0" applyFont="1" applyBorder="1" applyAlignment="1">
      <alignment wrapText="1"/>
    </xf>
    <xf numFmtId="0" fontId="0" fillId="0" borderId="8" xfId="0" applyFont="1" applyBorder="1" applyAlignment="1">
      <alignment horizontal="center" vertical="center"/>
    </xf>
    <xf numFmtId="0" fontId="0" fillId="0" borderId="8" xfId="0" applyFont="1" applyBorder="1" applyAlignment="1">
      <alignment wrapText="1"/>
    </xf>
    <xf numFmtId="0" fontId="0" fillId="0" borderId="13" xfId="0" applyFont="1" applyBorder="1" applyAlignment="1">
      <alignment horizontal="center" vertical="center"/>
    </xf>
    <xf numFmtId="0" fontId="0" fillId="0" borderId="13" xfId="0" applyFont="1" applyBorder="1" applyAlignment="1">
      <alignment wrapText="1"/>
    </xf>
    <xf numFmtId="0" fontId="1" fillId="0" borderId="0" xfId="0" applyFont="1"/>
    <xf numFmtId="0" fontId="1" fillId="0" borderId="0" xfId="0" applyFont="1" applyAlignment="1"/>
    <xf numFmtId="0" fontId="0" fillId="0" borderId="7"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xf>
    <xf numFmtId="0" fontId="1" fillId="0" borderId="6" xfId="0" applyFont="1" applyFill="1" applyBorder="1" applyAlignment="1">
      <alignment horizontal="center" vertical="center"/>
    </xf>
    <xf numFmtId="0" fontId="0" fillId="0" borderId="9" xfId="0" applyBorder="1" applyAlignment="1">
      <alignment vertical="center"/>
    </xf>
    <xf numFmtId="0" fontId="0" fillId="0" borderId="11" xfId="0" applyBorder="1" applyAlignment="1">
      <alignment vertical="center"/>
    </xf>
    <xf numFmtId="0" fontId="0" fillId="0" borderId="14" xfId="0" applyBorder="1" applyAlignment="1">
      <alignment vertical="center"/>
    </xf>
    <xf numFmtId="0" fontId="0" fillId="0" borderId="17" xfId="0" applyBorder="1" applyAlignment="1">
      <alignment vertical="center"/>
    </xf>
    <xf numFmtId="0" fontId="0" fillId="0" borderId="5" xfId="0" applyFill="1" applyBorder="1" applyAlignment="1">
      <alignment horizontal="center" vertical="center"/>
    </xf>
    <xf numFmtId="0" fontId="0" fillId="0" borderId="13" xfId="0" applyFill="1" applyBorder="1" applyAlignment="1">
      <alignment horizontal="center" vertical="center"/>
    </xf>
    <xf numFmtId="0" fontId="0" fillId="0" borderId="9" xfId="0" applyFont="1" applyBorder="1" applyAlignment="1">
      <alignment vertical="center"/>
    </xf>
    <xf numFmtId="0" fontId="0" fillId="0" borderId="11" xfId="0" applyFont="1" applyBorder="1" applyAlignment="1">
      <alignment vertical="center"/>
    </xf>
    <xf numFmtId="0" fontId="0" fillId="0" borderId="13" xfId="0" applyFont="1" applyFill="1" applyBorder="1" applyAlignment="1">
      <alignment horizontal="center" vertical="center"/>
    </xf>
    <xf numFmtId="0" fontId="0" fillId="0" borderId="14" xfId="0" applyFont="1" applyBorder="1" applyAlignment="1">
      <alignment vertical="center"/>
    </xf>
    <xf numFmtId="0" fontId="0" fillId="0" borderId="0" xfId="0" applyBorder="1" applyAlignment="1">
      <alignment vertical="center"/>
    </xf>
    <xf numFmtId="0" fontId="1" fillId="0" borderId="18" xfId="0" applyFont="1" applyBorder="1" applyAlignment="1">
      <alignment wrapText="1"/>
    </xf>
    <xf numFmtId="0" fontId="0" fillId="0" borderId="21" xfId="0" applyBorder="1" applyAlignment="1">
      <alignment horizontal="center"/>
    </xf>
    <xf numFmtId="0" fontId="0" fillId="0" borderId="23" xfId="0" applyBorder="1" applyAlignment="1">
      <alignment horizontal="center"/>
    </xf>
    <xf numFmtId="0" fontId="2" fillId="0" borderId="0" xfId="0" applyFont="1" applyBorder="1" applyAlignment="1">
      <alignment horizontal="center" vertical="center"/>
    </xf>
    <xf numFmtId="0" fontId="0" fillId="0" borderId="24" xfId="0" applyBorder="1" applyAlignment="1">
      <alignment horizontal="center" vertical="center"/>
    </xf>
    <xf numFmtId="0" fontId="1" fillId="0" borderId="0" xfId="0" applyFont="1" applyAlignment="1">
      <alignment horizontal="left" vertical="center" wrapText="1"/>
    </xf>
    <xf numFmtId="0" fontId="1" fillId="0" borderId="18" xfId="0" applyFont="1" applyBorder="1" applyAlignment="1">
      <alignmen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0" fillId="0" borderId="0" xfId="0" applyAlignment="1">
      <alignment horizontal="left" vertical="center" wrapText="1"/>
    </xf>
    <xf numFmtId="0" fontId="1" fillId="0" borderId="0" xfId="0" applyFont="1" applyAlignment="1">
      <alignment horizontal="center" vertical="center"/>
    </xf>
    <xf numFmtId="0" fontId="0" fillId="0" borderId="24" xfId="0" applyBorder="1" applyAlignment="1">
      <alignment vertical="center"/>
    </xf>
    <xf numFmtId="0" fontId="0" fillId="0" borderId="0" xfId="0" applyAlignment="1">
      <alignment vertical="center"/>
    </xf>
    <xf numFmtId="3" fontId="1" fillId="0" borderId="0" xfId="0" applyNumberFormat="1" applyFont="1" applyAlignment="1">
      <alignment horizontal="center" vertical="center"/>
    </xf>
    <xf numFmtId="3" fontId="0" fillId="0" borderId="0" xfId="0" applyNumberFormat="1" applyBorder="1" applyAlignment="1">
      <alignment vertical="center"/>
    </xf>
    <xf numFmtId="3" fontId="0" fillId="0" borderId="24" xfId="0" applyNumberFormat="1" applyBorder="1" applyAlignment="1">
      <alignment vertical="center"/>
    </xf>
    <xf numFmtId="3" fontId="0" fillId="0" borderId="0" xfId="0" applyNumberFormat="1" applyAlignment="1">
      <alignment vertical="center"/>
    </xf>
    <xf numFmtId="3" fontId="0" fillId="0" borderId="3" xfId="0" applyNumberFormat="1" applyFont="1" applyBorder="1" applyAlignment="1">
      <alignment vertical="center"/>
    </xf>
    <xf numFmtId="3" fontId="0" fillId="0" borderId="18" xfId="0" applyNumberFormat="1" applyFont="1" applyBorder="1" applyAlignment="1">
      <alignment vertical="center"/>
    </xf>
    <xf numFmtId="3" fontId="0" fillId="0" borderId="20" xfId="0" applyNumberFormat="1" applyFont="1" applyBorder="1" applyAlignment="1">
      <alignment vertical="center"/>
    </xf>
    <xf numFmtId="3" fontId="0" fillId="0" borderId="22" xfId="0" applyNumberFormat="1" applyBorder="1" applyAlignment="1">
      <alignment vertical="center"/>
    </xf>
    <xf numFmtId="3" fontId="0" fillId="0" borderId="25" xfId="0" applyNumberFormat="1" applyBorder="1" applyAlignment="1">
      <alignment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22" xfId="0" applyBorder="1"/>
    <xf numFmtId="0" fontId="0" fillId="0" borderId="25" xfId="0" applyBorder="1"/>
    <xf numFmtId="0" fontId="0" fillId="0" borderId="9" xfId="0" applyBorder="1"/>
    <xf numFmtId="0" fontId="0" fillId="0" borderId="11" xfId="0" applyBorder="1"/>
    <xf numFmtId="0" fontId="0" fillId="0" borderId="11" xfId="0" applyBorder="1" applyAlignment="1">
      <alignment wrapText="1"/>
    </xf>
    <xf numFmtId="0" fontId="0" fillId="0" borderId="14" xfId="0" applyBorder="1"/>
    <xf numFmtId="0" fontId="0" fillId="0" borderId="1" xfId="0" applyBorder="1" applyAlignment="1">
      <alignment horizontal="center" vertical="center"/>
    </xf>
    <xf numFmtId="0" fontId="0" fillId="0" borderId="2" xfId="0" applyBorder="1" applyAlignment="1">
      <alignment horizontal="left" vertical="center" wrapText="1"/>
    </xf>
    <xf numFmtId="0" fontId="0" fillId="0" borderId="2" xfId="0" applyBorder="1" applyAlignment="1">
      <alignment vertical="center"/>
    </xf>
    <xf numFmtId="3" fontId="0" fillId="0" borderId="2" xfId="0" applyNumberFormat="1" applyBorder="1" applyAlignment="1">
      <alignment vertical="center"/>
    </xf>
    <xf numFmtId="0" fontId="1" fillId="0" borderId="0" xfId="0" applyFont="1" applyAlignment="1">
      <alignment vertical="center" wrapText="1"/>
    </xf>
    <xf numFmtId="0" fontId="0" fillId="0" borderId="0" xfId="0" applyBorder="1" applyAlignment="1">
      <alignment vertical="center" wrapText="1"/>
    </xf>
    <xf numFmtId="0" fontId="0" fillId="0" borderId="24" xfId="0" applyBorder="1" applyAlignment="1">
      <alignment vertical="center" wrapText="1"/>
    </xf>
    <xf numFmtId="0" fontId="0" fillId="0" borderId="0" xfId="0" applyAlignment="1">
      <alignment vertical="center" wrapText="1"/>
    </xf>
    <xf numFmtId="0" fontId="0" fillId="0" borderId="2" xfId="0" applyBorder="1" applyAlignment="1">
      <alignment vertical="center" wrapText="1"/>
    </xf>
    <xf numFmtId="3" fontId="0" fillId="0" borderId="3" xfId="0" applyNumberFormat="1" applyBorder="1" applyAlignment="1">
      <alignment vertical="center"/>
    </xf>
    <xf numFmtId="0" fontId="0" fillId="0" borderId="0" xfId="0" applyAlignment="1">
      <alignment vertical="top" wrapText="1"/>
    </xf>
    <xf numFmtId="0" fontId="1" fillId="0" borderId="19" xfId="0" applyFont="1" applyBorder="1" applyAlignment="1">
      <alignment wrapText="1"/>
    </xf>
    <xf numFmtId="0" fontId="1" fillId="0" borderId="4" xfId="0" applyFont="1" applyBorder="1" applyAlignment="1">
      <alignment wrapText="1"/>
    </xf>
    <xf numFmtId="0" fontId="1" fillId="0" borderId="1" xfId="0" applyFont="1" applyBorder="1" applyAlignment="1">
      <alignment wrapText="1"/>
    </xf>
    <xf numFmtId="0" fontId="1" fillId="0" borderId="2" xfId="0" applyFont="1" applyBorder="1" applyAlignment="1">
      <alignment wrapText="1"/>
    </xf>
    <xf numFmtId="0" fontId="1" fillId="0" borderId="0" xfId="0" applyFont="1" applyAlignment="1"/>
    <xf numFmtId="0" fontId="1" fillId="0" borderId="0" xfId="0" applyFont="1" applyAlignment="1">
      <alignment vertical="top"/>
    </xf>
    <xf numFmtId="0" fontId="1" fillId="0" borderId="1" xfId="0" applyFont="1" applyBorder="1" applyAlignment="1"/>
    <xf numFmtId="0" fontId="1" fillId="0" borderId="3" xfId="0" applyFont="1" applyBorder="1" applyAlignment="1"/>
    <xf numFmtId="0" fontId="1" fillId="0" borderId="26" xfId="0" applyFont="1" applyBorder="1" applyAlignment="1"/>
    <xf numFmtId="0" fontId="1" fillId="0" borderId="27" xfId="0" applyFont="1" applyBorder="1" applyAlignment="1"/>
    <xf numFmtId="0" fontId="0" fillId="0" borderId="8" xfId="0"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8" xfId="0" quotePrefix="1" applyBorder="1" applyAlignment="1">
      <alignment horizontal="center" vertical="center"/>
    </xf>
    <xf numFmtId="0" fontId="0" fillId="0" borderId="5" xfId="0" quotePrefix="1" applyBorder="1" applyAlignment="1">
      <alignment horizontal="center" vertical="center"/>
    </xf>
    <xf numFmtId="0" fontId="0" fillId="0" borderId="13" xfId="0" quotePrefix="1" applyBorder="1" applyAlignment="1">
      <alignment horizontal="center" vertical="center"/>
    </xf>
    <xf numFmtId="0" fontId="0" fillId="0" borderId="8" xfId="0" applyFont="1" applyBorder="1" applyAlignment="1">
      <alignment horizontal="center" vertical="center"/>
    </xf>
    <xf numFmtId="0" fontId="0" fillId="0" borderId="5" xfId="0" applyFont="1" applyBorder="1" applyAlignment="1">
      <alignment horizontal="center" vertical="center"/>
    </xf>
    <xf numFmtId="0" fontId="0" fillId="0" borderId="13" xfId="0" applyFont="1" applyBorder="1" applyAlignment="1">
      <alignment horizontal="center" vertical="center"/>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3"/>
  <sheetViews>
    <sheetView workbookViewId="0">
      <selection activeCell="A4" sqref="A4"/>
    </sheetView>
  </sheetViews>
  <sheetFormatPr baseColWidth="10" defaultRowHeight="15"/>
  <cols>
    <col min="1" max="1" width="77.85546875" style="5" customWidth="1"/>
  </cols>
  <sheetData>
    <row r="1" spans="1:2" ht="45">
      <c r="A1" s="5" t="s">
        <v>30</v>
      </c>
      <c r="B1" s="6" t="s">
        <v>31</v>
      </c>
    </row>
    <row r="2" spans="1:2">
      <c r="A2" s="5" t="s">
        <v>133</v>
      </c>
    </row>
    <row r="3" spans="1:2">
      <c r="A3" s="5" t="s">
        <v>141</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G44"/>
  <sheetViews>
    <sheetView showZeros="0" workbookViewId="0">
      <pane ySplit="1" topLeftCell="A8" activePane="bottomLeft" state="frozen"/>
      <selection pane="bottomLeft" activeCell="C13" sqref="C13"/>
    </sheetView>
  </sheetViews>
  <sheetFormatPr baseColWidth="10" defaultRowHeight="15"/>
  <cols>
    <col min="1" max="1" width="4.28515625" style="1" hidden="1" customWidth="1"/>
    <col min="2" max="2" width="8.85546875" style="6" customWidth="1"/>
    <col min="3" max="3" width="68.7109375" style="84" customWidth="1"/>
    <col min="4" max="4" width="73.140625" style="56" customWidth="1"/>
    <col min="5" max="5" width="10.85546875" style="59" bestFit="1" customWidth="1"/>
    <col min="6" max="6" width="13.42578125" style="63" bestFit="1" customWidth="1"/>
    <col min="7" max="7" width="12.5703125" style="63" bestFit="1" customWidth="1"/>
  </cols>
  <sheetData>
    <row r="1" spans="1:7" ht="15.75" thickBot="1">
      <c r="A1" s="2" t="s">
        <v>0</v>
      </c>
      <c r="B1" s="57" t="s">
        <v>1</v>
      </c>
      <c r="C1" s="81" t="s">
        <v>2</v>
      </c>
      <c r="D1" s="52" t="s">
        <v>47</v>
      </c>
      <c r="E1" s="57" t="s">
        <v>3</v>
      </c>
      <c r="F1" s="60" t="s">
        <v>7</v>
      </c>
      <c r="G1" s="60" t="s">
        <v>8</v>
      </c>
    </row>
    <row r="2" spans="1:7" s="3" customFormat="1" ht="15.75" thickBot="1">
      <c r="A2" s="90" t="s">
        <v>5</v>
      </c>
      <c r="B2" s="91"/>
      <c r="C2" s="91"/>
      <c r="D2" s="91"/>
      <c r="E2" s="91"/>
      <c r="F2" s="91"/>
      <c r="G2" s="64">
        <f ca="1">1000+RANDBETWEEN(1,20)*100</f>
        <v>1300</v>
      </c>
    </row>
    <row r="3" spans="1:7" s="3" customFormat="1" ht="15.75" thickBot="1">
      <c r="A3" s="47"/>
      <c r="B3" s="53"/>
      <c r="C3" s="53"/>
      <c r="D3" s="53"/>
      <c r="E3" s="53"/>
      <c r="F3" s="53"/>
      <c r="G3" s="65"/>
    </row>
    <row r="4" spans="1:7" s="3" customFormat="1">
      <c r="A4" s="88" t="s">
        <v>9</v>
      </c>
      <c r="B4" s="89"/>
      <c r="C4" s="89"/>
      <c r="D4" s="89"/>
      <c r="E4" s="89"/>
      <c r="F4" s="89"/>
      <c r="G4" s="66">
        <f ca="1">1000+ROUND(G2/10,0)</f>
        <v>1130</v>
      </c>
    </row>
    <row r="5" spans="1:7" ht="30">
      <c r="A5" s="48">
        <f t="shared" ref="A5" ca="1" si="0">RANDBETWEEN(1,20)</f>
        <v>11</v>
      </c>
      <c r="B5" s="7">
        <v>439</v>
      </c>
      <c r="C5" s="82" t="s">
        <v>104</v>
      </c>
      <c r="D5" s="54" t="str">
        <f ca="1">VLOOKUP(A5,Données!A2:G4,3,TRUE)</f>
        <v>A survécu à la bataille de Carlion. Haine (Irlandais) 13</v>
      </c>
      <c r="E5" s="46" t="str">
        <f ca="1">VLOOKUP(A5,Données!A2:G4,6,TRUE)</f>
        <v/>
      </c>
      <c r="F5" s="61">
        <f ca="1">VLOOKUP(A5,Données!A2:G4,7,TRUE)</f>
        <v>30</v>
      </c>
      <c r="G5" s="67">
        <f ca="1">G4+F5</f>
        <v>1160</v>
      </c>
    </row>
    <row r="6" spans="1:7" ht="30">
      <c r="A6" s="48">
        <f ca="1">RANDBETWEEN(1,20)</f>
        <v>3</v>
      </c>
      <c r="B6" s="7">
        <v>440</v>
      </c>
      <c r="C6" s="82" t="s">
        <v>105</v>
      </c>
      <c r="D6" s="54" t="str">
        <f ca="1">IF(IF(ISNA( VLOOKUP("grand-père",$E$5:E5,1,FALSE)),"vide", VLOOKUP("grand-père",$E$5:E5,1,FALSE))="grand-père","-",VLOOKUP(A6,Données!A5:G9,3,TRUE))</f>
        <v>Service de garnison :  tué par des pictes</v>
      </c>
      <c r="E6" s="46" t="str">
        <f ca="1">IF(IF(ISNA( VLOOKUP("grand-père",$E$5:E5,1,FALSE)),"vide", VLOOKUP("grand-père",$E$5:E5,1,FALSE))="grand-père","",VLOOKUP(A6,Données!A5:G9,6,TRUE))</f>
        <v>grand-père</v>
      </c>
      <c r="F6" s="61">
        <f ca="1">IF(IF(ISNA( VLOOKUP("grand-père",$E$5:E5,1,FALSE)),"vide", VLOOKUP("grand-père",$E$5:E5,1,FALSE))="grand-père","",VLOOKUP(A6,Données!A5:G9,7,TRUE))</f>
        <v>20</v>
      </c>
      <c r="G6" s="67">
        <f ca="1">IF(ISNUMBER(G5),G5,0)+IF(ISNUMBER(F6),F6,0)</f>
        <v>1180</v>
      </c>
    </row>
    <row r="7" spans="1:7" ht="30">
      <c r="A7" s="48">
        <f ca="1">RANDBETWEEN(1,20)</f>
        <v>2</v>
      </c>
      <c r="B7" s="7" t="s">
        <v>22</v>
      </c>
      <c r="C7" s="82" t="s">
        <v>106</v>
      </c>
      <c r="D7" s="54" t="str">
        <f ca="1">IF(IF(ISNA( VLOOKUP("grand-père",$E$5:E6,1,FALSE)),"vide", VLOOKUP("grand-père",$E$5:E6,1,FALSE))="grand-père","-",VLOOKUP(A7,Données!A10:G12,3,TRUE))</f>
        <v>-</v>
      </c>
      <c r="E7" s="46" t="str">
        <f ca="1">IF(IF(ISNA( VLOOKUP("grand-père",$E$5:E6,1,FALSE)),"vide", VLOOKUP("grand-père",$E$5:E6,1,FALSE))="grand-père","",VLOOKUP(A7,Données!A10:G12,6,TRUE))</f>
        <v/>
      </c>
      <c r="F7" s="61">
        <f ca="1">IF(IF(ISNA( VLOOKUP("grand-père",$E$5:E6,1,FALSE)),"vide", VLOOKUP("grand-père",$E$5:E6,1,FALSE))="grand-père",0,VLOOKUP(A7,Données!A10:G12,7,TRUE))</f>
        <v>0</v>
      </c>
      <c r="G7" s="67">
        <f ca="1">G6+F7</f>
        <v>1180</v>
      </c>
    </row>
    <row r="8" spans="1:7" ht="45">
      <c r="A8" s="48">
        <f t="shared" ref="A8:A21" ca="1" si="1">RANDBETWEEN(1,20)</f>
        <v>2</v>
      </c>
      <c r="B8" s="7">
        <v>443</v>
      </c>
      <c r="C8" s="82" t="s">
        <v>107</v>
      </c>
      <c r="D8" s="54" t="str">
        <f ca="1">IF(IF(ISNA( VLOOKUP("grand-père",$E$5:E7,1,FALSE)),"vide", VLOOKUP("grand-père",$E$5:E7,1,FALSE))="grand-père","-",VLOOKUP(A8,Données!A13:G17,3,TRUE))</f>
        <v>-</v>
      </c>
      <c r="E8" s="46" t="str">
        <f ca="1">IF(IF(ISNA( VLOOKUP("grand-père",$E$5:E7,1,FALSE)),"vide", VLOOKUP("grand-père",$E$5:E7,1,FALSE))="grand-père","",VLOOKUP(A8,Données!A13:G17,6,TRUE))</f>
        <v/>
      </c>
      <c r="F8" s="61">
        <f ca="1">IF(IF(ISNA( VLOOKUP("grand-père",$E$5:E7,1,FALSE)),"vide", VLOOKUP("grand-père",$E$5:E7,1,FALSE))="grand-père",0,VLOOKUP(A8,Données!A17:G131,7,TRUE))</f>
        <v>0</v>
      </c>
      <c r="G8" s="67">
        <f t="shared" ref="G8:G21" ca="1" si="2">G7+F8</f>
        <v>1180</v>
      </c>
    </row>
    <row r="9" spans="1:7">
      <c r="A9" s="48">
        <f t="shared" ca="1" si="1"/>
        <v>10</v>
      </c>
      <c r="B9" s="7" t="s">
        <v>65</v>
      </c>
      <c r="C9" s="82" t="s">
        <v>108</v>
      </c>
      <c r="D9" s="54" t="str">
        <f ca="1">IF(IF(ISNA( VLOOKUP("grand-père",$E$5:E8,1,FALSE)),"vide", VLOOKUP("grand-père",$E$5:E8,1,FALSE))="grand-père","-",VLOOKUP(A9,Données!A18:G21,3,TRUE))</f>
        <v>-</v>
      </c>
      <c r="E9" s="46" t="str">
        <f ca="1">IF(IF(ISNA( VLOOKUP("grand-père",$E$5:E8,1,FALSE)),"vide", VLOOKUP("grand-père",$E$5:E8,1,FALSE))="grand-père","",VLOOKUP(A9,Données!A18:G21,6,TRUE))</f>
        <v/>
      </c>
      <c r="F9" s="61">
        <f ca="1">IF(IF(ISNA( VLOOKUP("grand-père",$E$5:E8,1,FALSE)),"vide", VLOOKUP("grand-père",$E$5:E8,1,FALSE))="grand-père",0,VLOOKUP(A9,Données!A21:G182,7,TRUE))</f>
        <v>0</v>
      </c>
      <c r="G9" s="67">
        <f t="shared" ca="1" si="2"/>
        <v>1180</v>
      </c>
    </row>
    <row r="10" spans="1:7" ht="45">
      <c r="A10" s="48">
        <f t="shared" ca="1" si="1"/>
        <v>3</v>
      </c>
      <c r="B10" s="50">
        <v>446</v>
      </c>
      <c r="C10" s="82" t="s">
        <v>109</v>
      </c>
      <c r="D10" s="54" t="str">
        <f ca="1">IF(IF(ISNA( VLOOKUP("grand-père",$E$5:E9,1,FALSE)),"vide", VLOOKUP("grand-père",$E$5:E9,1,FALSE))="grand-père","-",VLOOKUP(A10,Données!A22:G24,3,TRUE))</f>
        <v>-</v>
      </c>
      <c r="E10" s="46" t="str">
        <f ca="1">IF(IF(ISNA( VLOOKUP("grand-père",$E$5:E9,1,FALSE)),"vide", VLOOKUP("grand-père",$E$5:E9,1,FALSE))="grand-père","",VLOOKUP(A10,Données!A22:G24,6,TRUE))</f>
        <v/>
      </c>
      <c r="F10" s="61">
        <f ca="1">IF(IF(ISNA( VLOOKUP("grand-père",$E$5:E9,1,FALSE)),"vide", VLOOKUP("grand-père",$E$5:E9,1,FALSE))="grand-père",0,VLOOKUP(A10,Données!A22:G24,7,TRUE))</f>
        <v>0</v>
      </c>
      <c r="G10" s="67">
        <f t="shared" ca="1" si="2"/>
        <v>1180</v>
      </c>
    </row>
    <row r="11" spans="1:7" ht="45">
      <c r="A11" s="48">
        <f t="shared" ca="1" si="1"/>
        <v>10</v>
      </c>
      <c r="B11" s="7" t="s">
        <v>26</v>
      </c>
      <c r="C11" s="82" t="s">
        <v>110</v>
      </c>
      <c r="D11" s="54" t="str">
        <f ca="1">IF(IF(ISNA( VLOOKUP("grand-père",$E$5:E10,1,FALSE)),"vide", VLOOKUP("grand-père",$E$5:E10,1,FALSE))="grand-père","-",VLOOKUP(A11,Données!A25:G26,3,TRUE))</f>
        <v>-</v>
      </c>
      <c r="E11" s="46" t="str">
        <f ca="1">IF(IF(ISNA( VLOOKUP("grand-père",$E$5:E10,1,FALSE)),"vide", VLOOKUP("grand-père",$E$5:E10,1,FALSE))="grand-père","",VLOOKUP(A11,Données!A25:G26,6,TRUE))</f>
        <v/>
      </c>
      <c r="F11" s="61">
        <f ca="1">IF(IF(ISNA( VLOOKUP("grand-père",$E$5:E10,1,FALSE)),"vide", VLOOKUP("grand-père",$E$5:E10,1,FALSE))="grand-père",0,VLOOKUP(A11,Données!A25:G26,7,TRUE))</f>
        <v>0</v>
      </c>
      <c r="G11" s="67">
        <f ca="1">G10+F11</f>
        <v>1180</v>
      </c>
    </row>
    <row r="12" spans="1:7" ht="30">
      <c r="A12" s="48">
        <f t="shared" ca="1" si="1"/>
        <v>14</v>
      </c>
      <c r="B12" s="7">
        <v>450</v>
      </c>
      <c r="C12" s="82" t="s">
        <v>142</v>
      </c>
      <c r="D12" s="54" t="str">
        <f ca="1">IF(IF(ISNA( VLOOKUP("grand-père",$E$5:E11,1,FALSE)),"vide", VLOOKUP("grand-père",$E$5:E11,1,FALSE))="grand-père","-",VLOOKUP(A12,Données!A27:G30,3,TRUE))</f>
        <v>-</v>
      </c>
      <c r="E12" s="46" t="str">
        <f ca="1">IF(IF(ISNA( VLOOKUP("grand-père",$E$5:E11,1,FALSE)),"vide", VLOOKUP("grand-père",$E$5:E11,1,FALSE))="grand-père","",VLOOKUP(A12,Données!A27:G30,6,TRUE))</f>
        <v/>
      </c>
      <c r="F12" s="61">
        <f ca="1">IF(IF(ISNA( VLOOKUP("grand-père",$E$5:E11,1,FALSE)),"vide", VLOOKUP("grand-père",$E$5:E11,1,FALSE))="grand-père",0,VLOOKUP(A12,Données!A27:G30,7,TRUE))</f>
        <v>0</v>
      </c>
      <c r="G12" s="67">
        <f t="shared" ca="1" si="2"/>
        <v>1180</v>
      </c>
    </row>
    <row r="13" spans="1:7" ht="30">
      <c r="A13" s="48">
        <f t="shared" ca="1" si="1"/>
        <v>13</v>
      </c>
      <c r="B13" s="7">
        <v>451</v>
      </c>
      <c r="C13" s="82" t="s">
        <v>111</v>
      </c>
      <c r="D13" s="54" t="str">
        <f ca="1">IF(IF(ISNA( VLOOKUP("grand-père",$E$5:E12,1,FALSE)),"vide", VLOOKUP("grand-père",$E$5:E12,1,FALSE))="grand-père","-",VLOOKUP(A13,Données!A31:G32,3,TRUE))</f>
        <v>-</v>
      </c>
      <c r="E13" s="46" t="str">
        <f ca="1">IF(IF(ISNA( VLOOKUP("grand-père",$E$5:E12,1,FALSE)),"vide", VLOOKUP("grand-père",$E$5:E12,1,FALSE))="grand-père","",VLOOKUP(A13,Données!A31:G32,6,TRUE))</f>
        <v/>
      </c>
      <c r="F13" s="61">
        <f ca="1">IF(IF(ISNA( VLOOKUP("grand-père",$E$5:E12,1,FALSE)),"vide", VLOOKUP("grand-père",$E$5:E12,1,FALSE))="grand-père",0,VLOOKUP(A13,Données!A31:G32,7,TRUE))</f>
        <v>0</v>
      </c>
      <c r="G13" s="67">
        <f t="shared" ca="1" si="2"/>
        <v>1180</v>
      </c>
    </row>
    <row r="14" spans="1:7">
      <c r="A14" s="48">
        <f t="shared" ca="1" si="1"/>
        <v>3</v>
      </c>
      <c r="B14" s="7" t="s">
        <v>32</v>
      </c>
      <c r="C14" s="82" t="s">
        <v>112</v>
      </c>
      <c r="D14" s="54" t="str">
        <f ca="1">IF(IF(ISNA( VLOOKUP("grand-père",$E$5:E13,1,FALSE)),"vide", VLOOKUP("grand-père",$E$5:E13,1,FALSE))="grand-père","-",VLOOKUP(A14,Données!A33:G34,3,TRUE))</f>
        <v>-</v>
      </c>
      <c r="E14" s="46" t="str">
        <f ca="1">IF(IF(ISNA( VLOOKUP("grand-père",$E$5:E13,1,FALSE)),"vide", VLOOKUP("grand-père",$E$5:E13,1,FALSE))="grand-père","",VLOOKUP(A14,Données!A33:G34,6,TRUE))</f>
        <v/>
      </c>
      <c r="F14" s="61">
        <f ca="1">IF(IF(ISNA( VLOOKUP("grand-père",$E$5:E13,1,FALSE)),"vide", VLOOKUP("grand-père",$E$5:E13,1,FALSE))="grand-père",0,VLOOKUP(A14,Données!A33:G34,7,TRUE))</f>
        <v>0</v>
      </c>
      <c r="G14" s="67">
        <f t="shared" ca="1" si="2"/>
        <v>1180</v>
      </c>
    </row>
    <row r="15" spans="1:7" ht="45">
      <c r="A15" s="48">
        <f t="shared" ca="1" si="1"/>
        <v>20</v>
      </c>
      <c r="B15" s="50" t="s">
        <v>33</v>
      </c>
      <c r="C15" s="82" t="s">
        <v>113</v>
      </c>
      <c r="D15" s="54" t="str">
        <f ca="1">IF(IF(ISNA( VLOOKUP("grand-père",$E$5:E14,1,FALSE)),"vide", VLOOKUP("grand-père",$E$5:E14,1,FALSE))="grand-père","-",VLOOKUP(A15,Données!A35:G36,3,TRUE))</f>
        <v>-</v>
      </c>
      <c r="E15" s="46" t="str">
        <f ca="1">IF(IF(ISNA( VLOOKUP("grand-père",$E$5:E14,1,FALSE)),"vide", VLOOKUP("grand-père",$E$5:E14,1,FALSE))="grand-père","",VLOOKUP(A15,Données!A35:G36,6,TRUE))</f>
        <v/>
      </c>
      <c r="F15" s="61">
        <f ca="1">IF(IF(ISNA( VLOOKUP("grand-père",$E$5:E14,1,FALSE)),"vide", VLOOKUP("grand-père",$E$5:E14,1,FALSE))="grand-père",0,VLOOKUP(A15,Données!A35:G36,7,TRUE))</f>
        <v>0</v>
      </c>
      <c r="G15" s="67">
        <f t="shared" ca="1" si="2"/>
        <v>1180</v>
      </c>
    </row>
    <row r="16" spans="1:7" ht="30">
      <c r="A16" s="48">
        <f t="shared" ca="1" si="1"/>
        <v>6</v>
      </c>
      <c r="B16" s="7">
        <v>457</v>
      </c>
      <c r="C16" s="82" t="s">
        <v>114</v>
      </c>
      <c r="D16" s="54" t="str">
        <f ca="1">IF(IF(ISNA( VLOOKUP("grand-père",$E$5:E15,1,FALSE)),"vide", VLOOKUP("grand-père",$E$5:E15,1,FALSE))="grand-père","-",VLOOKUP(A16,Données!A37:G39,3,TRUE))</f>
        <v>-</v>
      </c>
      <c r="E16" s="46" t="str">
        <f ca="1">IF(IF(ISNA( VLOOKUP("grand-père",$E$5:E15,1,FALSE)),"vide", VLOOKUP("grand-père",$E$5:E15,1,FALSE))="grand-père","",VLOOKUP(A16,Données!A37:G39,6,TRUE))</f>
        <v/>
      </c>
      <c r="F16" s="61">
        <f ca="1">IF(IF(ISNA( VLOOKUP("grand-père",$E$5:E15,1,FALSE)),"vide", VLOOKUP("grand-père",$E$5:E15,1,FALSE))="grand-père",0,VLOOKUP(A16,Données!A37:G39,7,TRUE))</f>
        <v>0</v>
      </c>
      <c r="G16" s="67">
        <f t="shared" ca="1" si="2"/>
        <v>1180</v>
      </c>
    </row>
    <row r="17" spans="1:7" ht="30">
      <c r="A17" s="48">
        <f t="shared" ca="1" si="1"/>
        <v>2</v>
      </c>
      <c r="B17" s="7" t="s">
        <v>34</v>
      </c>
      <c r="C17" s="82" t="s">
        <v>115</v>
      </c>
      <c r="D17" s="54" t="str">
        <f ca="1">IF(IF(ISNA( VLOOKUP("grand-père",$E$5:E16,1,FALSE)),"vide", VLOOKUP("grand-père",$E$5:E16,1,FALSE))="grand-père","-",VLOOKUP(A17,Données!A40:G41,3,TRUE))</f>
        <v>-</v>
      </c>
      <c r="E17" s="46" t="str">
        <f ca="1">IF(IF(ISNA( VLOOKUP("grand-père",$E$5:E16,1,FALSE)),"vide", VLOOKUP("grand-père",$E$5:E16,1,FALSE))="grand-père","",VLOOKUP(A17,Données!A40:G41,6,TRUE))</f>
        <v/>
      </c>
      <c r="F17" s="61">
        <f ca="1">IF(IF(ISNA( VLOOKUP("grand-père",$E$5:E16,1,FALSE)),"vide", VLOOKUP("grand-père",$E$5:E16,1,FALSE))="grand-père",0,VLOOKUP(A17,Données!A40:G41,7,TRUE))</f>
        <v>0</v>
      </c>
      <c r="G17" s="67">
        <f t="shared" ca="1" si="2"/>
        <v>1180</v>
      </c>
    </row>
    <row r="18" spans="1:7">
      <c r="A18" s="48">
        <f ca="1">RANDBETWEEN(1,20)</f>
        <v>4</v>
      </c>
      <c r="B18" s="7">
        <v>460</v>
      </c>
      <c r="C18" s="82"/>
      <c r="D18" s="54" t="str">
        <f ca="1">IF(IF(ISNA( VLOOKUP("grand-père",$E$5:E17,1,FALSE)),"vide", VLOOKUP("grand-père",$E$5:E17,1,FALSE))="grand-père","-",VLOOKUP(A18,Données!A42:G43,3,TRUE))</f>
        <v>-</v>
      </c>
      <c r="E18" s="46" t="str">
        <f ca="1">IF(IF(ISNA( VLOOKUP("grand-père",$E$5:E17,1,FALSE)),"vide", VLOOKUP("grand-père",$E$5:E17,1,FALSE))="grand-père","",VLOOKUP(A18,Données!A42:G43,6,TRUE))</f>
        <v/>
      </c>
      <c r="F18" s="61">
        <f ca="1">IF(IF(ISNA( VLOOKUP("grand-père",$E$5:E17,1,FALSE)),"vide", VLOOKUP("grand-père",$E$5:E17,1,FALSE))="grand-père",0,VLOOKUP(A18,Données!A42:H43,8,TRUE))</f>
        <v>0</v>
      </c>
      <c r="G18" s="67">
        <f t="shared" ca="1" si="2"/>
        <v>1180</v>
      </c>
    </row>
    <row r="19" spans="1:7">
      <c r="A19" s="48">
        <f t="shared" ca="1" si="1"/>
        <v>18</v>
      </c>
      <c r="B19" s="50">
        <v>461</v>
      </c>
      <c r="C19" s="82"/>
      <c r="D19" s="54" t="str">
        <f ca="1">IF(IF(ISNA( VLOOKUP("grand-père",$E$5:E18,1,FALSE)),"vide", VLOOKUP("grand-père",$E$5:E18,1,FALSE))="grand-père","-",VLOOKUP(A19,Données!A44:G45,3,TRUE))</f>
        <v>-</v>
      </c>
      <c r="E19" s="46" t="str">
        <f ca="1">IF(IF(ISNA( VLOOKUP("grand-père",$E$5:E18,1,FALSE)),"vide", VLOOKUP("grand-père",$E$5:E18,1,FALSE))="grand-père","",VLOOKUP(A19,Données!A44:G45,6,TRUE))</f>
        <v/>
      </c>
      <c r="F19" s="61">
        <f ca="1">IF(IF(ISNA( VLOOKUP("grand-père",$E$5:E18,1,FALSE)),"vide", VLOOKUP("grand-père",$E$5:E18,1,FALSE))="grand-père",0,VLOOKUP(A19,Données!A44:H45,8,TRUE))</f>
        <v>0</v>
      </c>
      <c r="G19" s="67">
        <f t="shared" ca="1" si="2"/>
        <v>1180</v>
      </c>
    </row>
    <row r="20" spans="1:7" ht="30">
      <c r="A20" s="48">
        <f t="shared" ca="1" si="1"/>
        <v>10</v>
      </c>
      <c r="B20" s="7">
        <v>462</v>
      </c>
      <c r="C20" s="82" t="s">
        <v>117</v>
      </c>
      <c r="D20" s="54" t="str">
        <f ca="1">IF(IF(ISNA( VLOOKUP("grand-père",$E$5:E19,1,FALSE)),"vide", VLOOKUP("grand-père",$E$5:E19,1,FALSE))="grand-père","-",VLOOKUP(A20,Données!A46:G48,3,TRUE))</f>
        <v>-</v>
      </c>
      <c r="E20" s="46" t="str">
        <f ca="1">IF(IF(ISNA( VLOOKUP("grand-père",$E$5:E19,1,FALSE)),"vide", VLOOKUP("grand-père",$E$5:E19,1,FALSE))="grand-père","",VLOOKUP(A20,Données!A46:G48,6,TRUE))</f>
        <v/>
      </c>
      <c r="F20" s="61">
        <f ca="1">IF(IF(ISNA( VLOOKUP("grand-père",$E$5:E19,1,FALSE)),"vide", VLOOKUP("grand-père",$E$5:E19,1,FALSE))="grand-père",0,VLOOKUP(A20,Données!A46:H48,8,TRUE))</f>
        <v>0</v>
      </c>
      <c r="G20" s="67">
        <f t="shared" ca="1" si="2"/>
        <v>1180</v>
      </c>
    </row>
    <row r="21" spans="1:7" ht="45.75" thickBot="1">
      <c r="A21" s="49">
        <f t="shared" ca="1" si="1"/>
        <v>10</v>
      </c>
      <c r="B21" s="51">
        <v>463</v>
      </c>
      <c r="C21" s="83" t="s">
        <v>118</v>
      </c>
      <c r="D21" s="55" t="str">
        <f ca="1">IF(IF(ISNA( VLOOKUP("grand-père",$E$5:E20,1,FALSE)),"vide", VLOOKUP("grand-père",$E$5:E20,1,FALSE))="grand-père","-",VLOOKUP(A21,Données!A49:G49,3,TRUE))</f>
        <v>-</v>
      </c>
      <c r="E21" s="58" t="str">
        <f ca="1">IF(IF(ISNA( VLOOKUP("grand-père",$E$5:E20,1,FALSE)),"vide", VLOOKUP("grand-père",$E$5:E20,1,FALSE))="grand-père","",VLOOKUP(A21,Données!A49:G49,6,TRUE))</f>
        <v/>
      </c>
      <c r="F21" s="62">
        <f ca="1">IF(IF(ISNA( VLOOKUP("grand-père",$E$5:E20,1,FALSE)),"vide", VLOOKUP("grand-père",$E$5:E20,1,FALSE))="grand-père",0,VLOOKUP(A21,Données!A49:H49,8,TRUE))</f>
        <v>0</v>
      </c>
      <c r="G21" s="68">
        <f t="shared" ca="1" si="2"/>
        <v>1180</v>
      </c>
    </row>
    <row r="22" spans="1:7" ht="15.75" thickBot="1"/>
    <row r="23" spans="1:7" s="3" customFormat="1">
      <c r="A23" s="88" t="s">
        <v>66</v>
      </c>
      <c r="B23" s="89"/>
      <c r="C23" s="89"/>
      <c r="D23" s="89"/>
      <c r="E23" s="89"/>
      <c r="F23" s="89"/>
      <c r="G23" s="66"/>
    </row>
    <row r="24" spans="1:7" ht="30">
      <c r="A24" s="69">
        <f t="shared" ref="A24" ca="1" si="3">RANDBETWEEN(1,20)</f>
        <v>19</v>
      </c>
      <c r="B24" s="7">
        <v>460</v>
      </c>
      <c r="C24" s="82"/>
      <c r="D24" s="54" t="s">
        <v>116</v>
      </c>
      <c r="E24" s="46"/>
      <c r="F24" s="61"/>
      <c r="G24" s="67">
        <f ca="1">1000+ROUND(G17/10,0)</f>
        <v>1118</v>
      </c>
    </row>
    <row r="25" spans="1:7">
      <c r="A25" s="69">
        <f ca="1">RANDBETWEEN(1,20)</f>
        <v>8</v>
      </c>
      <c r="B25" s="50">
        <v>461</v>
      </c>
      <c r="C25" s="82"/>
      <c r="D25" s="54" t="s">
        <v>67</v>
      </c>
      <c r="E25" s="46"/>
      <c r="F25" s="61"/>
      <c r="G25" s="67">
        <f ca="1">IF(ISNUMBER(G24),G24,0)+IF(ISNUMBER(F25),F25,0)</f>
        <v>1118</v>
      </c>
    </row>
    <row r="26" spans="1:7" ht="30">
      <c r="A26" s="69">
        <f t="shared" ref="A26:A39" ca="1" si="4">RANDBETWEEN(1,20)</f>
        <v>1</v>
      </c>
      <c r="B26" s="7">
        <v>462</v>
      </c>
      <c r="C26" s="82" t="s">
        <v>117</v>
      </c>
      <c r="D26" s="54" t="s">
        <v>67</v>
      </c>
      <c r="E26" s="46"/>
      <c r="F26" s="61"/>
      <c r="G26" s="67">
        <f t="shared" ref="G26:G39" ca="1" si="5">IF(ISNUMBER(G25),G25,0)+IF(ISNUMBER(F26),F26,0)</f>
        <v>1118</v>
      </c>
    </row>
    <row r="27" spans="1:7" ht="45">
      <c r="A27" s="69">
        <f t="shared" ca="1" si="4"/>
        <v>8</v>
      </c>
      <c r="B27" s="7">
        <v>463</v>
      </c>
      <c r="C27" s="82" t="s">
        <v>118</v>
      </c>
      <c r="D27" s="54" t="s">
        <v>67</v>
      </c>
      <c r="E27" s="46"/>
      <c r="F27" s="61"/>
      <c r="G27" s="67">
        <f t="shared" ca="1" si="5"/>
        <v>1118</v>
      </c>
    </row>
    <row r="28" spans="1:7">
      <c r="A28" s="69">
        <f t="shared" ca="1" si="4"/>
        <v>7</v>
      </c>
      <c r="B28" s="7">
        <v>464</v>
      </c>
      <c r="C28" s="82" t="s">
        <v>119</v>
      </c>
      <c r="D28" s="54" t="str">
        <f ca="1">VLOOKUP(A30,Données!A50:G54,3,TRUE)</f>
        <v>Père se marie avec une fille de chevalier vassal</v>
      </c>
      <c r="E28" s="46"/>
      <c r="F28" s="61">
        <f ca="1">VLOOKUP(A28,Données!A50:G54,7,TRUE)</f>
        <v>50</v>
      </c>
      <c r="G28" s="67">
        <f t="shared" ca="1" si="5"/>
        <v>1168</v>
      </c>
    </row>
    <row r="29" spans="1:7" ht="45">
      <c r="A29" s="69">
        <f t="shared" ca="1" si="4"/>
        <v>15</v>
      </c>
      <c r="B29" s="7">
        <v>465</v>
      </c>
      <c r="C29" s="82" t="s">
        <v>120</v>
      </c>
      <c r="D29" s="54" t="str">
        <f ca="1">VLOOKUP(A29,Données!A55:G55,3,TRUE)</f>
        <v>Année de votre naissance</v>
      </c>
      <c r="E29" s="46"/>
      <c r="F29" s="61"/>
      <c r="G29" s="67">
        <f t="shared" ca="1" si="5"/>
        <v>1168</v>
      </c>
    </row>
    <row r="30" spans="1:7" ht="45">
      <c r="A30" s="69">
        <f t="shared" ca="1" si="4"/>
        <v>16</v>
      </c>
      <c r="B30" s="7" t="s">
        <v>42</v>
      </c>
      <c r="C30" s="82" t="s">
        <v>121</v>
      </c>
      <c r="D30" s="54" t="str">
        <f ca="1">VLOOKUP(A30,Données!A56:G58,3,TRUE)</f>
        <v>A survécu au siège de Carlion</v>
      </c>
      <c r="E30" s="46" t="str">
        <f ca="1">VLOOKUP(A30,Données!A56:G58,6,TRUE)</f>
        <v/>
      </c>
      <c r="F30" s="61">
        <f ca="1">VLOOKUP(A30,Données!A56:G58,7,TRUE)</f>
        <v>60</v>
      </c>
      <c r="G30" s="67">
        <f t="shared" ca="1" si="5"/>
        <v>1228</v>
      </c>
    </row>
    <row r="31" spans="1:7" ht="45">
      <c r="A31" s="69">
        <f t="shared" ca="1" si="4"/>
        <v>17</v>
      </c>
      <c r="B31" s="7">
        <v>468</v>
      </c>
      <c r="C31" s="82" t="s">
        <v>122</v>
      </c>
      <c r="D31" s="54" t="str">
        <f ca="1">IF(IF(ISNA( VLOOKUP("père",$E$24:E30,1,FALSE)),"vide", VLOOKUP("père",$E$24:E30,1,FALSE))="père","-",VLOOKUP(A31,Données!A59:G61,3,TRUE))</f>
        <v>A survécu à la bataille de Snowdon</v>
      </c>
      <c r="E31" s="46" t="str">
        <f ca="1">IF(IF(ISNA( VLOOKUP("père",$E$24:E30,1,FALSE)),"vide", VLOOKUP("père",$E$24:E30,1,FALSE))="père","",VLOOKUP(A31,Données!A59:G61,6,TRUE))</f>
        <v/>
      </c>
      <c r="F31" s="61">
        <f ca="1">IF(IF(ISNA( VLOOKUP("père",$E$24:E30,1,FALSE)),"vide", VLOOKUP("père",$E$24:E30,1,FALSE))="père","",VLOOKUP(A31,Données!A59:G61,7,TRUE))</f>
        <v>60</v>
      </c>
      <c r="G31" s="67">
        <f t="shared" ca="1" si="5"/>
        <v>1288</v>
      </c>
    </row>
    <row r="32" spans="1:7" ht="60">
      <c r="A32" s="69">
        <f t="shared" ca="1" si="4"/>
        <v>4</v>
      </c>
      <c r="B32" s="7" t="s">
        <v>44</v>
      </c>
      <c r="C32" s="82" t="s">
        <v>123</v>
      </c>
      <c r="D32" s="54" t="str">
        <f ca="1">IF(IF(ISNA( VLOOKUP("père",$E$24:E31,1,FALSE)),"vide", VLOOKUP("père",$E$24:E31,1,FALSE))="père","-",VLOOKUP(A32,Données!A62:G66,3,TRUE))</f>
        <v xml:space="preserve">Gain de gloire dans les combats </v>
      </c>
      <c r="E32" s="46">
        <f ca="1">IF(IF(ISNA( VLOOKUP("père",$E$24:E31,1,FALSE)),"vide", VLOOKUP("père",$E$24:E31,1,FALSE))="père","",VLOOKUP(A32,Données!A62:G66,6,TRUE))</f>
        <v>0</v>
      </c>
      <c r="F32" s="61">
        <f ca="1">IF(IF(ISNA( VLOOKUP("père",$E$24:E31,1,FALSE)),"vide", VLOOKUP("père",$E$24:E31,1,FALSE))="père","",VLOOKUP(A32,Données!A62:G66,7,TRUE))</f>
        <v>25</v>
      </c>
      <c r="G32" s="67">
        <f t="shared" ca="1" si="5"/>
        <v>1313</v>
      </c>
    </row>
    <row r="33" spans="1:7">
      <c r="A33" s="69">
        <f t="shared" ca="1" si="4"/>
        <v>10</v>
      </c>
      <c r="B33" s="7">
        <v>473</v>
      </c>
      <c r="C33" s="82" t="s">
        <v>124</v>
      </c>
      <c r="D33" s="54" t="str">
        <f ca="1">IF(IF(ISNA( VLOOKUP("père",$E$24:E32,1,FALSE)),"vide", VLOOKUP("père",$E$24:E32,1,FALSE))="père","-",VLOOKUP(A33,Données!A67:G69,3,TRUE))</f>
        <v>Service de garnison  : n'a vu que peu de combats</v>
      </c>
      <c r="E33" s="46">
        <f ca="1">IF(IF(ISNA( VLOOKUP("père",$E$24:E32,1,FALSE)),"vide", VLOOKUP("père",$E$24:E32,1,FALSE))="père","",VLOOKUP(A33,Données!A67:G69,6,TRUE))</f>
        <v>0</v>
      </c>
      <c r="F33" s="61">
        <f ca="1">IF(IF(ISNA( VLOOKUP("père",$E$24:E32,1,FALSE)),"vide", VLOOKUP("père",$E$24:E32,1,FALSE))="père","",VLOOKUP(A33,Données!A67:G69,7,TRUE))</f>
        <v>0</v>
      </c>
      <c r="G33" s="67">
        <f t="shared" ca="1" si="5"/>
        <v>1313</v>
      </c>
    </row>
    <row r="34" spans="1:7">
      <c r="A34" s="69">
        <f t="shared" ca="1" si="4"/>
        <v>18</v>
      </c>
      <c r="B34" s="7" t="s">
        <v>46</v>
      </c>
      <c r="C34" s="82" t="s">
        <v>125</v>
      </c>
      <c r="D34" s="54" t="str">
        <f ca="1">IF(IF(ISNA( VLOOKUP("père",$E$24:E33,1,FALSE)),"vide", VLOOKUP("père",$E$24:E33,1,FALSE))="père","-",VLOOKUP(A34,Données!A70:G72,3,TRUE))</f>
        <v>Service de garnison  : a survécu aux pillages</v>
      </c>
      <c r="E34" s="46">
        <f ca="1">IF(IF(ISNA( VLOOKUP("père",$E$24:E33,1,FALSE)),"vide", VLOOKUP("père",$E$24:E33,1,FALSE))="père","",VLOOKUP(A34,Données!A70:G72,6,TRUE))</f>
        <v>0</v>
      </c>
      <c r="F34" s="61">
        <f ca="1">IF(IF(ISNA( VLOOKUP("père",$E$24:E33,1,FALSE)),"vide", VLOOKUP("père",$E$24:E33,1,FALSE))="père","",VLOOKUP(A34,Données!A70:G72,7,TRUE))</f>
        <v>25</v>
      </c>
      <c r="G34" s="67">
        <f t="shared" ca="1" si="5"/>
        <v>1338</v>
      </c>
    </row>
    <row r="35" spans="1:7" ht="30">
      <c r="A35" s="69">
        <f t="shared" ca="1" si="4"/>
        <v>8</v>
      </c>
      <c r="B35" s="7">
        <v>477</v>
      </c>
      <c r="C35" s="82" t="s">
        <v>126</v>
      </c>
      <c r="D35" s="54" t="str">
        <f ca="1">IF(IF(ISNA( VLOOKUP("père",$E$24:E34,1,FALSE)),"vide", VLOOKUP("père",$E$24:E34,1,FALSE))="père","-",VLOOKUP(A35,Données!A73:G74,3,TRUE))</f>
        <v>Service de garnison  : a survécu aux pillages</v>
      </c>
      <c r="E35" s="46">
        <f ca="1">IF(IF(ISNA( VLOOKUP("père",$E$24:E34,1,FALSE)),"vide", VLOOKUP("père",$E$24:E34,1,FALSE))="père","",VLOOKUP(A35,Données!A73:G74,6,TRUE))</f>
        <v>0</v>
      </c>
      <c r="F35" s="61">
        <f ca="1">IF(IF(ISNA( VLOOKUP("père",$E$24:E34,1,FALSE)),"vide", VLOOKUP("père",$E$24:E34,1,FALSE))="père","",VLOOKUP(A35,Données!A73:G74,7,TRUE))</f>
        <v>0</v>
      </c>
      <c r="G35" s="67">
        <f t="shared" ca="1" si="5"/>
        <v>1338</v>
      </c>
    </row>
    <row r="36" spans="1:7" ht="30">
      <c r="A36" s="69">
        <f t="shared" ca="1" si="4"/>
        <v>6</v>
      </c>
      <c r="B36" s="7" t="s">
        <v>49</v>
      </c>
      <c r="C36" s="82" t="s">
        <v>132</v>
      </c>
      <c r="D36" s="54" t="str">
        <f ca="1">IF(IF(ISNA( VLOOKUP("père",$E$24:E35,1,FALSE)),"vide", VLOOKUP("père",$E$24:E35,1,FALSE))="père","-",VLOOKUP(A36,Données!A75:G77,3,TRUE))</f>
        <v>Mort en combattant les saxons à Salisbury</v>
      </c>
      <c r="E36" s="46" t="str">
        <f ca="1">IF(IF(ISNA( VLOOKUP("père",$E$24:E35,1,FALSE)),"vide", VLOOKUP("père",$E$24:E35,1,FALSE))="père","",VLOOKUP(A36,Données!A75:G77,6,TRUE))</f>
        <v>père</v>
      </c>
      <c r="F36" s="61">
        <f ca="1">IF(IF(ISNA( VLOOKUP("père",$E$24:E35,1,FALSE)),"vide", VLOOKUP("père",$E$24:E35,1,FALSE))="père","",VLOOKUP(A36,Données!A75:G77,7,TRUE))</f>
        <v>120</v>
      </c>
      <c r="G36" s="67">
        <f t="shared" ca="1" si="5"/>
        <v>1458</v>
      </c>
    </row>
    <row r="37" spans="1:7" ht="45">
      <c r="A37" s="69">
        <f t="shared" ca="1" si="4"/>
        <v>7</v>
      </c>
      <c r="B37" s="7">
        <v>480</v>
      </c>
      <c r="C37" s="82" t="s">
        <v>127</v>
      </c>
      <c r="D37" s="54" t="str">
        <f ca="1">IF(IF(ISNA( VLOOKUP("père",$E$24:E36,1,FALSE)),"vide", VLOOKUP("père",$E$24:E36,1,FALSE))="père","-",VLOOKUP(A37,Données!A78:G80,3,TRUE))</f>
        <v>-</v>
      </c>
      <c r="E37" s="46" t="str">
        <f ca="1">IF(IF(ISNA( VLOOKUP("père",$E$24:E36,1,FALSE)),"vide", VLOOKUP("père",$E$24:E36,1,FALSE))="père","",VLOOKUP(A37,Données!A78:G80,6,TRUE))</f>
        <v/>
      </c>
      <c r="F37" s="61" t="str">
        <f ca="1">IF(IF(ISNA( VLOOKUP("père",$E$24:E36,1,FALSE)),"vide", VLOOKUP("père",$E$24:E36,1,FALSE))="père","",VLOOKUP(A37,Données!A78:G80,7,TRUE))</f>
        <v/>
      </c>
      <c r="G37" s="67">
        <f t="shared" ca="1" si="5"/>
        <v>1458</v>
      </c>
    </row>
    <row r="38" spans="1:7">
      <c r="A38" s="69">
        <f t="shared" ca="1" si="4"/>
        <v>12</v>
      </c>
      <c r="B38" s="7" t="s">
        <v>50</v>
      </c>
      <c r="C38" s="82" t="s">
        <v>128</v>
      </c>
      <c r="D38" s="54" t="str">
        <f ca="1">IF(IF(ISNA( VLOOKUP("père",$E$24:E37,1,FALSE)),"vide", VLOOKUP("père",$E$24:E37,1,FALSE))="père","-",VLOOKUP(A38,Données!A81:G83,3,TRUE))</f>
        <v>-</v>
      </c>
      <c r="E38" s="46" t="str">
        <f ca="1">IF(IF(ISNA( VLOOKUP("père",$E$24:E37,1,FALSE)),"vide", VLOOKUP("père",$E$24:E37,1,FALSE))="père","",VLOOKUP(A38,Données!A81:G83,6,TRUE))</f>
        <v/>
      </c>
      <c r="F38" s="61" t="str">
        <f ca="1">IF(IF(ISNA( VLOOKUP("père",$E$24:E37,1,FALSE)),"vide", VLOOKUP("père",$E$24:E37,1,FALSE))="père","",VLOOKUP(A38,Données!A81:G83,7,TRUE))</f>
        <v/>
      </c>
      <c r="G38" s="67">
        <f t="shared" ca="1" si="5"/>
        <v>1458</v>
      </c>
    </row>
    <row r="39" spans="1:7" ht="60.75" thickBot="1">
      <c r="A39" s="70">
        <f t="shared" ca="1" si="4"/>
        <v>14</v>
      </c>
      <c r="B39" s="51">
        <v>484</v>
      </c>
      <c r="C39" s="83" t="s">
        <v>129</v>
      </c>
      <c r="D39" s="55" t="str">
        <f ca="1">IF(IF(ISNA( VLOOKUP("père",$E$24:E38,1,FALSE)),"vide", VLOOKUP("père",$E$24:E38,1,FALSE))="père","-",VLOOKUP(A39,Données!A84:G86,3,TRUE))</f>
        <v>-</v>
      </c>
      <c r="E39" s="58" t="str">
        <f ca="1">IF(IF(ISNA( VLOOKUP("père",$E$24:E38,1,FALSE)),"vide", VLOOKUP("père",$E$24:E38,1,FALSE))="père","",VLOOKUP(A39,Données!A84:G86,6,TRUE))</f>
        <v/>
      </c>
      <c r="F39" s="62" t="str">
        <f ca="1">IF(IF(ISNA( VLOOKUP("père",$E$24:E38,1,FALSE)),"vide", VLOOKUP("père",$E$24:E38,1,FALSE))="père","",VLOOKUP(A39,Données!A84:G86,7,TRUE))</f>
        <v/>
      </c>
      <c r="G39" s="68">
        <f t="shared" ca="1" si="5"/>
        <v>1458</v>
      </c>
    </row>
    <row r="40" spans="1:7" ht="15.75" thickBot="1">
      <c r="A40" s="69"/>
      <c r="B40" s="7"/>
      <c r="C40" s="82"/>
      <c r="D40" s="54"/>
      <c r="E40" s="46"/>
      <c r="F40" s="61"/>
      <c r="G40" s="61"/>
    </row>
    <row r="41" spans="1:7" ht="45.75" thickBot="1">
      <c r="A41" s="70"/>
      <c r="B41" s="77">
        <v>485</v>
      </c>
      <c r="C41" s="85" t="s">
        <v>131</v>
      </c>
      <c r="D41" s="78" t="s">
        <v>130</v>
      </c>
      <c r="E41" s="79"/>
      <c r="F41" s="80">
        <v>1000</v>
      </c>
      <c r="G41" s="86">
        <f ca="1">F41+G39/10</f>
        <v>1145.8</v>
      </c>
    </row>
    <row r="42" spans="1:7">
      <c r="A42" s="6"/>
    </row>
    <row r="43" spans="1:7">
      <c r="A43" s="6"/>
    </row>
    <row r="44" spans="1:7">
      <c r="A44" s="6"/>
    </row>
  </sheetData>
  <dataConsolidate function="count"/>
  <mergeCells count="3">
    <mergeCell ref="A4:F4"/>
    <mergeCell ref="A2:F2"/>
    <mergeCell ref="A23:F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30"/>
  <sheetViews>
    <sheetView tabSelected="1" topLeftCell="A7" workbookViewId="0">
      <selection activeCell="E12" sqref="E12"/>
    </sheetView>
  </sheetViews>
  <sheetFormatPr baseColWidth="10" defaultRowHeight="15"/>
  <cols>
    <col min="1" max="1" width="2" bestFit="1" customWidth="1"/>
    <col min="2" max="2" width="11.7109375" customWidth="1"/>
    <col min="3" max="3" width="17.5703125" customWidth="1"/>
    <col min="4" max="4" width="17.85546875" bestFit="1" customWidth="1"/>
    <col min="5" max="5" width="12.85546875" bestFit="1" customWidth="1"/>
    <col min="6" max="6" width="15.28515625" customWidth="1"/>
    <col min="7" max="8" width="24.5703125" customWidth="1"/>
    <col min="9" max="9" width="27" customWidth="1"/>
    <col min="13" max="13" width="37" customWidth="1"/>
  </cols>
  <sheetData>
    <row r="1" spans="1:9">
      <c r="A1" s="92" t="s">
        <v>52</v>
      </c>
      <c r="B1" s="92"/>
      <c r="C1" s="27" t="s">
        <v>68</v>
      </c>
      <c r="D1" s="26" t="s">
        <v>53</v>
      </c>
      <c r="E1" s="26" t="s">
        <v>54</v>
      </c>
      <c r="G1" t="s">
        <v>55</v>
      </c>
    </row>
    <row r="2" spans="1:9">
      <c r="A2">
        <v>1</v>
      </c>
      <c r="B2" t="str">
        <f ca="1">IF(ISEVEN(G9),"Oncle","Tante")</f>
        <v>Tante</v>
      </c>
      <c r="D2" t="str">
        <f ca="1">IF(ISEVEN(G17),"Marié","Célibataire") &amp; IF(AND(B2="Tante",ISEVEN(G17)),"e","")</f>
        <v>Célibataire</v>
      </c>
      <c r="E2" t="str">
        <f ca="1">IF(ISEVEN(G25),"Vivant","Mort") &amp; IF(B2="Tante","e","")</f>
        <v>Vivante</v>
      </c>
      <c r="G2">
        <f ca="1">RANDBETWEEN(1,6)</f>
        <v>2</v>
      </c>
      <c r="H2">
        <f ca="1">RANDBETWEEN(1,6)</f>
        <v>2</v>
      </c>
    </row>
    <row r="3" spans="1:9">
      <c r="A3">
        <v>2</v>
      </c>
      <c r="B3" t="str">
        <f ca="1">IF($G$2&gt;1,IF(ISEVEN(G10),"Oncle","Tante"),"")</f>
        <v>Oncle</v>
      </c>
      <c r="D3" t="str">
        <f ca="1">IF($G$2&gt;1,IF(ISEVEN(G18),"Marié","Célibataire") &amp; IF(AND(B3="Tante",ISEVEN(G18)),"e",""),"")</f>
        <v>Célibataire</v>
      </c>
      <c r="E3" t="str">
        <f ca="1">IF($G$2&gt;1,IF(ISEVEN(G26),"Vivant","Mort") &amp; IF(B3="Tante","e",""),"")</f>
        <v>Vivant</v>
      </c>
      <c r="G3" t="s">
        <v>56</v>
      </c>
    </row>
    <row r="4" spans="1:9">
      <c r="A4">
        <v>3</v>
      </c>
      <c r="B4" t="str">
        <f ca="1">IF($G$2&gt;2,IF(ISEVEN(G11),"Oncle","Tante"),"")</f>
        <v/>
      </c>
      <c r="D4" t="str">
        <f ca="1">IF($G$2&gt;2,IF(ISEVEN(G19),"Marié","Célibataire") &amp; IF(AND(B4="Tante",ISEVEN(G19)),"e",""),"")</f>
        <v/>
      </c>
      <c r="E4" t="str">
        <f ca="1">IF($G$2&gt;2,IF(ISEVEN(G27),"Vivant","Mort") &amp; IF(B4="Tante","e",""),"")</f>
        <v/>
      </c>
      <c r="G4">
        <f ca="1">RANDBETWEEN(1,6)</f>
        <v>6</v>
      </c>
    </row>
    <row r="5" spans="1:9">
      <c r="A5">
        <v>4</v>
      </c>
      <c r="B5" t="str">
        <f ca="1">IF($G$2&gt;3,IF(ISEVEN(G12),"Oncle","Tante"),"")</f>
        <v/>
      </c>
      <c r="D5" t="str">
        <f ca="1">IF($G$2&gt;3,IF(ISEVEN(G20),"Marié","Célibataire") &amp; IF(AND(B5="Tante",ISEVEN(G20)),"e",""),"")</f>
        <v/>
      </c>
      <c r="E5" t="str">
        <f ca="1">IF($G$2&gt;3,IF(ISEVEN(G28),"Vivant","Mort") &amp; IF(B5="Tante","e",""),"")</f>
        <v/>
      </c>
    </row>
    <row r="6" spans="1:9">
      <c r="A6">
        <v>5</v>
      </c>
      <c r="B6" t="str">
        <f ca="1">IF($G$2&gt;4,IF(ISEVEN(G13),"Oncle","Tante"),"")</f>
        <v/>
      </c>
      <c r="D6" t="str">
        <f ca="1">IF($G$2&gt;4,IF(ISEVEN(G21),"Marié","Célibataire") &amp; IF(AND(B6="Tante",ISEVEN(G21)),"e",""),"")</f>
        <v/>
      </c>
      <c r="E6" t="str">
        <f ca="1">IF($G$2&gt;4,IF(ISEVEN(G29),"Vivant","Mort") &amp; IF(B6="Tante","e",""),"")</f>
        <v/>
      </c>
    </row>
    <row r="7" spans="1:9">
      <c r="A7">
        <v>6</v>
      </c>
      <c r="B7" t="str">
        <f ca="1">IF($G$2&gt;5,IF(ISEVEN(G14),"Oncle","Tante"),"")</f>
        <v/>
      </c>
      <c r="D7" t="str">
        <f ca="1">IF($G$2&gt;5,IF(ISEVEN(G22),"Marié","Célibataire") &amp; IF(AND(B7="Tante",ISEVEN(G22)),"e",""),"")</f>
        <v/>
      </c>
      <c r="E7" t="str">
        <f ca="1">IF($G$2&gt;5,IF(ISEVEN(G30),"Vivant","Mort") &amp; IF(B7="Tante","e",""),"")</f>
        <v/>
      </c>
      <c r="G7" t="s">
        <v>57</v>
      </c>
      <c r="H7" t="s">
        <v>58</v>
      </c>
      <c r="I7" t="s">
        <v>59</v>
      </c>
    </row>
    <row r="8" spans="1:9">
      <c r="G8" t="s">
        <v>60</v>
      </c>
    </row>
    <row r="9" spans="1:9">
      <c r="A9" s="92" t="s">
        <v>61</v>
      </c>
      <c r="B9" s="92"/>
      <c r="C9" s="27" t="s">
        <v>68</v>
      </c>
      <c r="D9" s="26" t="s">
        <v>53</v>
      </c>
      <c r="E9" s="26" t="s">
        <v>54</v>
      </c>
      <c r="G9">
        <f ca="1">RANDBETWEEN(1,6)</f>
        <v>5</v>
      </c>
      <c r="H9">
        <f t="shared" ref="H9:I14" ca="1" si="0">RANDBETWEEN(1,6)</f>
        <v>5</v>
      </c>
      <c r="I9">
        <f t="shared" ca="1" si="0"/>
        <v>5</v>
      </c>
    </row>
    <row r="10" spans="1:9">
      <c r="A10">
        <v>1</v>
      </c>
      <c r="B10" t="str">
        <f ca="1">IF(ISEVEN(H9),"Oncle","Tante")</f>
        <v>Tante</v>
      </c>
      <c r="D10" t="str">
        <f ca="1">IF(ISEVEN(H17),"Marié","Célibataire") &amp; IF(AND(B10="Tante",ISEVEN(H17)),"e","")</f>
        <v>Célibataire</v>
      </c>
      <c r="E10" t="str">
        <f ca="1">IF(ISEVEN(G33),"Vivant","Mort") &amp; IF(B10="Tante","e","")</f>
        <v>Vivante</v>
      </c>
      <c r="G10">
        <f ca="1">RANDBETWEEN(1,6)</f>
        <v>2</v>
      </c>
      <c r="H10">
        <f t="shared" ca="1" si="0"/>
        <v>1</v>
      </c>
      <c r="I10">
        <f t="shared" ca="1" si="0"/>
        <v>5</v>
      </c>
    </row>
    <row r="11" spans="1:9">
      <c r="A11">
        <v>2</v>
      </c>
      <c r="B11" t="str">
        <f ca="1">IF($H$2&gt;1,IF(ISEVEN(H10),"Oncle","Tante"),"")</f>
        <v>Tante</v>
      </c>
      <c r="D11" t="str">
        <f ca="1">IF($H$2&gt;1,IF(ISEVEN(H17),"Marié","Célibataire") &amp; IF(AND(B11="Tante",ISEVEN(H17)),"e",""),"")</f>
        <v>Célibataire</v>
      </c>
      <c r="E11" t="str">
        <f ca="1">IF($H$2&gt;1,IF(ISEVEN(H25),"Vivant","Mort") &amp; IF(B11="Tante","e",""),"")</f>
        <v>Vivante</v>
      </c>
      <c r="G11">
        <f ca="1">RANDBETWEEN(1,6)</f>
        <v>5</v>
      </c>
      <c r="H11">
        <f t="shared" ca="1" si="0"/>
        <v>6</v>
      </c>
      <c r="I11">
        <f t="shared" ca="1" si="0"/>
        <v>6</v>
      </c>
    </row>
    <row r="12" spans="1:9">
      <c r="A12">
        <v>3</v>
      </c>
      <c r="B12" t="str">
        <f ca="1">IF($H$2&gt;2,IF(ISEVEN(H11),"Oncle","Tante"),"")</f>
        <v/>
      </c>
      <c r="D12" t="str">
        <f ca="1">IF($H$2&gt;2,IF(ISEVEN(H18),"Marié","Célibataire") &amp; IF(AND(B12="Tante",ISEVEN(H18)),"e",""),"")</f>
        <v/>
      </c>
      <c r="E12" t="str">
        <f ca="1">IF($H$2&gt;2,IF(ISEVEN(H26),"Vivant","Mort") &amp; IF(B12="Tante","e",""),"")</f>
        <v/>
      </c>
      <c r="G12">
        <f t="shared" ref="G12:G14" ca="1" si="1">RANDBETWEEN(1,6)</f>
        <v>2</v>
      </c>
      <c r="H12">
        <f t="shared" ca="1" si="0"/>
        <v>2</v>
      </c>
      <c r="I12">
        <f t="shared" ca="1" si="0"/>
        <v>1</v>
      </c>
    </row>
    <row r="13" spans="1:9">
      <c r="A13">
        <v>4</v>
      </c>
      <c r="B13" t="str">
        <f ca="1">IF($H$2&gt;3,IF(ISEVEN(H12),"Oncle","Tante"),"")</f>
        <v/>
      </c>
      <c r="D13" t="str">
        <f ca="1">IF($H$2&gt;3,IF(ISEVEN(H19),"Marié","Célibataire") &amp; IF(AND(B13="Tante",ISEVEN(H19)),"e",""),"")</f>
        <v/>
      </c>
      <c r="E13" t="str">
        <f ca="1">IF($H$2&gt;3,IF(ISEVEN(H27),"Vivant","Mort") &amp; IF(B13="Tante","e",""),"")</f>
        <v/>
      </c>
      <c r="G13">
        <f t="shared" ca="1" si="1"/>
        <v>1</v>
      </c>
      <c r="H13">
        <f t="shared" ca="1" si="0"/>
        <v>5</v>
      </c>
      <c r="I13">
        <f t="shared" ca="1" si="0"/>
        <v>5</v>
      </c>
    </row>
    <row r="14" spans="1:9">
      <c r="A14">
        <v>5</v>
      </c>
      <c r="B14" t="str">
        <f ca="1">IF($H$2&gt;4,IF(ISEVEN(H13),"Oncle","Tante"),"")</f>
        <v/>
      </c>
      <c r="D14" t="str">
        <f ca="1">IF($H$2&gt;4,IF(ISEVEN(H20),"Marié","Célibataire") &amp; IF(AND(B14="Tante",ISEVEN(H20)),"e",""),"")</f>
        <v/>
      </c>
      <c r="E14" t="str">
        <f ca="1">IF($H$2&gt;4,IF(ISEVEN(H28),"Vivant","Mort") &amp; IF(B14="Tante","e",""),"")</f>
        <v/>
      </c>
      <c r="G14">
        <f t="shared" ca="1" si="1"/>
        <v>5</v>
      </c>
      <c r="H14">
        <f t="shared" ca="1" si="0"/>
        <v>6</v>
      </c>
      <c r="I14">
        <f t="shared" ca="1" si="0"/>
        <v>4</v>
      </c>
    </row>
    <row r="15" spans="1:9">
      <c r="A15">
        <v>6</v>
      </c>
      <c r="B15" t="str">
        <f ca="1">IF($H$2&gt;5,IF(ISEVEN(H14),"Oncle","Tante"),"")</f>
        <v/>
      </c>
      <c r="D15" t="str">
        <f ca="1">IF($H$2&gt;5,IF(ISEVEN(H21),"Marié","Célibataire") &amp; IF(AND(B15="Tante",ISEVEN(H21)),"e",""),"")</f>
        <v/>
      </c>
      <c r="E15" t="str">
        <f ca="1">IF($H$2&gt;5,IF(ISEVEN(H29),"Vivant","Mort") &amp; IF(B15="Tante","e",""),"")</f>
        <v/>
      </c>
    </row>
    <row r="16" spans="1:9">
      <c r="G16" t="s">
        <v>62</v>
      </c>
    </row>
    <row r="17" spans="1:13">
      <c r="A17" s="92" t="s">
        <v>63</v>
      </c>
      <c r="B17" s="92"/>
      <c r="C17" s="27" t="s">
        <v>68</v>
      </c>
      <c r="D17" s="26" t="s">
        <v>53</v>
      </c>
      <c r="E17" s="26" t="s">
        <v>54</v>
      </c>
      <c r="G17">
        <f ca="1">RANDBETWEEN(1,6)</f>
        <v>3</v>
      </c>
      <c r="H17">
        <f t="shared" ref="H17:I22" ca="1" si="2">RANDBETWEEN(1,6)</f>
        <v>1</v>
      </c>
      <c r="I17">
        <f t="shared" ca="1" si="2"/>
        <v>6</v>
      </c>
    </row>
    <row r="18" spans="1:13">
      <c r="A18">
        <v>1</v>
      </c>
      <c r="B18" t="str">
        <f ca="1">IF(ISEVEN(I9),"Frère","Soeur")</f>
        <v>Soeur</v>
      </c>
      <c r="D18" t="str">
        <f ca="1" xml:space="preserve"> IF(AND(B18="Soeur",ISEVEN(I17)),"Mariée","Célibataire")</f>
        <v>Mariée</v>
      </c>
      <c r="E18" t="str">
        <f ca="1">IF(ISEVEN(I25),"Vivant","Mort") &amp; IF(B18="Soeur","e","")</f>
        <v>Vivante</v>
      </c>
      <c r="G18">
        <f t="shared" ref="G18:G22" ca="1" si="3">RANDBETWEEN(1,6)</f>
        <v>1</v>
      </c>
      <c r="H18">
        <f t="shared" ca="1" si="2"/>
        <v>3</v>
      </c>
      <c r="I18">
        <f t="shared" ca="1" si="2"/>
        <v>6</v>
      </c>
    </row>
    <row r="19" spans="1:13">
      <c r="A19">
        <v>2</v>
      </c>
      <c r="B19" t="str">
        <f ca="1">IF($G$4&gt;1,IF(ISEVEN(I10),"Frère","Soeur"),"")</f>
        <v>Soeur</v>
      </c>
      <c r="D19" t="str">
        <f ca="1">IF($G$4&gt;1,IF(AND(B19="Soeur",ISEVEN(I18)),"Mariée","Célibataire"),"")</f>
        <v>Mariée</v>
      </c>
      <c r="E19" t="str">
        <f ca="1">IF($G$4&gt;1,IF(ISEVEN(I26),"Vivant","Mort") &amp; IF(B19="Soeur","e",""),"")</f>
        <v>Morte</v>
      </c>
      <c r="G19">
        <f t="shared" ca="1" si="3"/>
        <v>1</v>
      </c>
      <c r="H19">
        <f t="shared" ca="1" si="2"/>
        <v>3</v>
      </c>
      <c r="I19">
        <f t="shared" ca="1" si="2"/>
        <v>1</v>
      </c>
    </row>
    <row r="20" spans="1:13">
      <c r="A20">
        <v>3</v>
      </c>
      <c r="B20" t="str">
        <f ca="1">IF($G$4&gt;2,IF(ISEVEN(I11),"Frère","Soeur"),"")</f>
        <v>Frère</v>
      </c>
      <c r="D20" t="str">
        <f ca="1">IF($G$4&gt;2,IF(AND(B20="Soeur",ISEVEN(I19)),"Mariée","Célibataire"),"")</f>
        <v>Célibataire</v>
      </c>
      <c r="E20" t="str">
        <f ca="1">IF($G$4&gt;2,IF(ISEVEN(I27),"Vivant","Mort") &amp; IF(B20="Soeur","e",""),"")</f>
        <v>Mort</v>
      </c>
      <c r="G20">
        <f t="shared" ca="1" si="3"/>
        <v>1</v>
      </c>
      <c r="H20">
        <f t="shared" ca="1" si="2"/>
        <v>3</v>
      </c>
      <c r="I20">
        <f t="shared" ca="1" si="2"/>
        <v>6</v>
      </c>
    </row>
    <row r="21" spans="1:13">
      <c r="A21">
        <v>4</v>
      </c>
      <c r="B21" t="str">
        <f ca="1">IF($G$4&gt;3,IF(ISEVEN(I12),"Frère","Soeur"),"")</f>
        <v>Soeur</v>
      </c>
      <c r="D21" t="str">
        <f ca="1">IF($G$4&gt;3,IF(AND(B21="Soeur",ISEVEN(I20)),"Mariée","Célibataire"),"")</f>
        <v>Mariée</v>
      </c>
      <c r="E21" t="str">
        <f ca="1">IF($G$4&gt;3,IF(ISEVEN(I28),"Vivant","Mort") &amp; IF(B21="Soeur","e",""),"")</f>
        <v>Morte</v>
      </c>
      <c r="G21">
        <f t="shared" ca="1" si="3"/>
        <v>5</v>
      </c>
      <c r="H21">
        <f t="shared" ca="1" si="2"/>
        <v>1</v>
      </c>
      <c r="I21">
        <f t="shared" ca="1" si="2"/>
        <v>1</v>
      </c>
    </row>
    <row r="22" spans="1:13">
      <c r="A22">
        <v>5</v>
      </c>
      <c r="B22" t="str">
        <f ca="1">IF($G$4&gt;4,IF(ISEVEN(I13),"Frère","Soeur"),"")</f>
        <v>Soeur</v>
      </c>
      <c r="D22" t="str">
        <f ca="1">IF($G$4&gt;4,IF(AND(B22="Soeur",ISEVEN(I21)),"Mariée","Célibataire"),"")</f>
        <v>Célibataire</v>
      </c>
      <c r="E22" t="str">
        <f ca="1">IF($G$4&gt;4,IF(ISEVEN(I29),"Vivant","Mort") &amp; IF(B22="Soeur","e",""),"")</f>
        <v>Vivante</v>
      </c>
      <c r="G22">
        <f t="shared" ca="1" si="3"/>
        <v>3</v>
      </c>
      <c r="H22">
        <f t="shared" ca="1" si="2"/>
        <v>2</v>
      </c>
      <c r="I22">
        <f t="shared" ca="1" si="2"/>
        <v>5</v>
      </c>
    </row>
    <row r="23" spans="1:13">
      <c r="A23">
        <v>6</v>
      </c>
      <c r="B23" t="str">
        <f ca="1">IF($G$4&gt;5,IF(ISEVEN(I14),"Frère","Soeur"),"")</f>
        <v>Frère</v>
      </c>
      <c r="D23" t="str">
        <f ca="1">IF($G$4&gt;5,IF(AND(B23="Soeur",ISEVEN(I22)),"Mariée","Célibataire"),"")</f>
        <v>Célibataire</v>
      </c>
      <c r="E23" t="str">
        <f ca="1">IF($G$4&gt;5,IF(ISEVEN(I30),"Vivant","Mort") &amp; IF(B23="Soeur","e",""),"")</f>
        <v>Vivant</v>
      </c>
    </row>
    <row r="24" spans="1:13">
      <c r="G24" t="s">
        <v>64</v>
      </c>
    </row>
    <row r="25" spans="1:13">
      <c r="B25" s="92" t="s">
        <v>89</v>
      </c>
      <c r="C25" s="92"/>
      <c r="D25" t="str">
        <f ca="1">VLOOKUP(Données!L10,Données!J11:K30,2,TRUE)</f>
        <v>Vigilant (+5 en Vigilance)</v>
      </c>
      <c r="G25">
        <f ca="1">RANDBETWEEN(1,6)</f>
        <v>4</v>
      </c>
      <c r="H25">
        <f t="shared" ref="H25:I30" ca="1" si="4">RANDBETWEEN(1,6)</f>
        <v>4</v>
      </c>
      <c r="I25">
        <f t="shared" ca="1" si="4"/>
        <v>4</v>
      </c>
    </row>
    <row r="26" spans="1:13" ht="60.75" customHeight="1">
      <c r="B26" s="93" t="s">
        <v>90</v>
      </c>
      <c r="C26" s="93"/>
      <c r="D26" s="107" t="str">
        <f ca="1">VLOOKUP(Données!L32,Données!J33:K52,2,TRUE)</f>
        <v>Anneau merveilleux d'ouïe fine : +2 en Vigilance</v>
      </c>
      <c r="E26" s="107"/>
      <c r="F26" s="107"/>
      <c r="G26">
        <f ca="1">RANDBETWEEN(1,6)</f>
        <v>6</v>
      </c>
      <c r="H26">
        <f t="shared" ca="1" si="4"/>
        <v>6</v>
      </c>
      <c r="I26">
        <f t="shared" ca="1" si="4"/>
        <v>1</v>
      </c>
      <c r="J26" s="87"/>
      <c r="K26" s="87"/>
      <c r="L26" s="87"/>
      <c r="M26" s="87"/>
    </row>
    <row r="27" spans="1:13">
      <c r="G27">
        <f t="shared" ref="G27:G30" ca="1" si="5">RANDBETWEEN(1,6)</f>
        <v>6</v>
      </c>
      <c r="H27">
        <f t="shared" ca="1" si="4"/>
        <v>1</v>
      </c>
      <c r="I27">
        <f t="shared" ca="1" si="4"/>
        <v>5</v>
      </c>
    </row>
    <row r="28" spans="1:13">
      <c r="G28">
        <f t="shared" ca="1" si="5"/>
        <v>5</v>
      </c>
      <c r="H28">
        <f t="shared" ca="1" si="4"/>
        <v>2</v>
      </c>
      <c r="I28">
        <f t="shared" ca="1" si="4"/>
        <v>3</v>
      </c>
    </row>
    <row r="29" spans="1:13">
      <c r="G29">
        <f t="shared" ca="1" si="5"/>
        <v>6</v>
      </c>
      <c r="H29">
        <f t="shared" ca="1" si="4"/>
        <v>6</v>
      </c>
      <c r="I29">
        <f t="shared" ca="1" si="4"/>
        <v>6</v>
      </c>
    </row>
    <row r="30" spans="1:13">
      <c r="G30">
        <f t="shared" ca="1" si="5"/>
        <v>3</v>
      </c>
      <c r="H30">
        <f t="shared" ca="1" si="4"/>
        <v>3</v>
      </c>
      <c r="I30">
        <f t="shared" ca="1" si="4"/>
        <v>6</v>
      </c>
    </row>
  </sheetData>
  <mergeCells count="6">
    <mergeCell ref="A1:B1"/>
    <mergeCell ref="A9:B9"/>
    <mergeCell ref="A17:B17"/>
    <mergeCell ref="B25:C25"/>
    <mergeCell ref="B26:C26"/>
    <mergeCell ref="D26:F2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86"/>
  <sheetViews>
    <sheetView workbookViewId="0">
      <pane xSplit="2" ySplit="1" topLeftCell="C20" activePane="bottomRight" state="frozen"/>
      <selection pane="topRight" activeCell="C1" sqref="C1"/>
      <selection pane="bottomLeft" activeCell="A2" sqref="A2"/>
      <selection pane="bottomRight" activeCell="C27" sqref="C27"/>
    </sheetView>
  </sheetViews>
  <sheetFormatPr baseColWidth="10" defaultRowHeight="15"/>
  <cols>
    <col min="1" max="1" width="4.28515625" style="7" bestFit="1" customWidth="1"/>
    <col min="2" max="2" width="8.42578125" style="7" customWidth="1"/>
    <col min="3" max="3" width="84.85546875" style="18" customWidth="1"/>
    <col min="4" max="4" width="9.140625" style="7" bestFit="1" customWidth="1"/>
    <col min="5" max="5" width="7.7109375" style="7" bestFit="1" customWidth="1"/>
    <col min="6" max="6" width="10.85546875" style="7" bestFit="1" customWidth="1"/>
    <col min="7" max="7" width="6.5703125" style="7" bestFit="1" customWidth="1"/>
    <col min="8" max="8" width="9.5703125" style="46" bestFit="1" customWidth="1"/>
    <col min="9" max="9" width="3.85546875" style="4" customWidth="1"/>
    <col min="10" max="10" width="6.140625" style="7" customWidth="1"/>
    <col min="11" max="11" width="115.7109375" style="4" customWidth="1"/>
    <col min="12" max="12" width="3.85546875" style="4" customWidth="1"/>
    <col min="13" max="16384" width="11.42578125" style="4"/>
  </cols>
  <sheetData>
    <row r="1" spans="1:12" ht="15.75" thickBot="1">
      <c r="A1" s="9" t="s">
        <v>0</v>
      </c>
      <c r="B1" s="9" t="s">
        <v>1</v>
      </c>
      <c r="C1" s="13" t="s">
        <v>2</v>
      </c>
      <c r="D1" s="9" t="s">
        <v>17</v>
      </c>
      <c r="E1" s="9" t="s">
        <v>21</v>
      </c>
      <c r="F1" s="9" t="s">
        <v>3</v>
      </c>
      <c r="G1" s="9" t="s">
        <v>6</v>
      </c>
      <c r="H1" s="35" t="s">
        <v>35</v>
      </c>
      <c r="J1" s="94" t="s">
        <v>10</v>
      </c>
      <c r="K1" s="95"/>
    </row>
    <row r="2" spans="1:12">
      <c r="A2" s="28">
        <v>1</v>
      </c>
      <c r="B2" s="98">
        <v>439</v>
      </c>
      <c r="C2" s="14" t="str">
        <f ca="1">VLOOKUP(D2,$J$1:$K$8,2,TRUE)</f>
        <v>Mort de causes naturelles</v>
      </c>
      <c r="D2" s="10">
        <f ca="1">RANDBETWEEN(1,20)</f>
        <v>14</v>
      </c>
      <c r="E2" s="10"/>
      <c r="F2" s="10" t="s">
        <v>4</v>
      </c>
      <c r="G2" s="10"/>
      <c r="H2" s="36"/>
      <c r="J2" s="69">
        <v>1</v>
      </c>
      <c r="K2" s="71" t="s">
        <v>11</v>
      </c>
    </row>
    <row r="3" spans="1:12">
      <c r="A3" s="29">
        <v>2</v>
      </c>
      <c r="B3" s="99"/>
      <c r="C3" s="15" t="s">
        <v>18</v>
      </c>
      <c r="D3" s="8">
        <f ca="1">RANDBETWEEN(1,20)</f>
        <v>20</v>
      </c>
      <c r="E3" s="8"/>
      <c r="F3" s="8"/>
      <c r="G3" s="8"/>
      <c r="H3" s="37"/>
      <c r="J3" s="69">
        <v>3</v>
      </c>
      <c r="K3" s="71" t="s">
        <v>12</v>
      </c>
    </row>
    <row r="4" spans="1:12" ht="15.75" thickBot="1">
      <c r="A4" s="30">
        <v>7</v>
      </c>
      <c r="B4" s="100"/>
      <c r="C4" s="16" t="str">
        <f ca="1">IF(AND(D4=1, D3&gt;15),"Mort glorieuse à la bataille de Carlion. Passion Haine (Irlandais) " &amp; E4,IF(AND(D4=1, D3&lt;16),"Mort glorieuse à la bataille de Carlion",IF(D4=2,"Mort à la bataille de Carlion",IF(D3&gt;15,"A survécu à la bataille de Carlion. Haine (Irlandais) " &amp; E4,"A survécu à la bataille de Carlion"))))</f>
        <v>A survécu à la bataille de Carlion. Haine (Irlandais) 13</v>
      </c>
      <c r="D4" s="11">
        <f ca="1">RANDBETWEEN(1,20)</f>
        <v>19</v>
      </c>
      <c r="E4" s="11">
        <f t="shared" ref="E4:E5" ca="1" si="0">RANDBETWEEN(1,6)+RANDBETWEEN(1,6)+RANDBETWEEN(1,6)</f>
        <v>13</v>
      </c>
      <c r="F4" s="11" t="str">
        <f ca="1">IF(D4&lt;3,"grand-père","")</f>
        <v/>
      </c>
      <c r="G4" s="11">
        <f ca="1">RANDBETWEEN(1,6)*15+IF(D4=1,RANDBETWEEN(1,20)*100,0)</f>
        <v>30</v>
      </c>
      <c r="H4" s="38"/>
      <c r="J4" s="69">
        <v>6</v>
      </c>
      <c r="K4" s="71" t="s">
        <v>13</v>
      </c>
    </row>
    <row r="5" spans="1:12">
      <c r="A5" s="28">
        <v>1</v>
      </c>
      <c r="B5" s="98">
        <v>440</v>
      </c>
      <c r="C5" s="14" t="str">
        <f ca="1">VLOOKUP(D5,$J$1:$K$8,2,TRUE)</f>
        <v>Mort dans un accident de chasse</v>
      </c>
      <c r="D5" s="10">
        <f ca="1">RANDBETWEEN(1,20)</f>
        <v>8</v>
      </c>
      <c r="E5" s="10">
        <f t="shared" ca="1" si="0"/>
        <v>9</v>
      </c>
      <c r="F5" s="10" t="s">
        <v>4</v>
      </c>
      <c r="G5" s="10"/>
      <c r="H5" s="36"/>
      <c r="J5" s="69">
        <v>8</v>
      </c>
      <c r="K5" s="71" t="s">
        <v>14</v>
      </c>
    </row>
    <row r="6" spans="1:12">
      <c r="A6" s="29">
        <v>2</v>
      </c>
      <c r="B6" s="99"/>
      <c r="C6" s="15" t="s">
        <v>19</v>
      </c>
      <c r="D6" s="8"/>
      <c r="E6" s="8"/>
      <c r="F6" s="8" t="s">
        <v>4</v>
      </c>
      <c r="G6" s="8">
        <v>20</v>
      </c>
      <c r="H6" s="37"/>
      <c r="J6" s="69">
        <v>10</v>
      </c>
      <c r="K6" s="71" t="s">
        <v>15</v>
      </c>
    </row>
    <row r="7" spans="1:12">
      <c r="A7" s="29">
        <v>10</v>
      </c>
      <c r="B7" s="99"/>
      <c r="C7" s="15" t="s">
        <v>20</v>
      </c>
      <c r="D7" s="8"/>
      <c r="E7" s="8"/>
      <c r="F7" s="8"/>
      <c r="G7" s="8">
        <v>10</v>
      </c>
      <c r="H7" s="37"/>
      <c r="J7" s="69">
        <v>12</v>
      </c>
      <c r="K7" s="71" t="s">
        <v>16</v>
      </c>
    </row>
    <row r="8" spans="1:12" ht="15.75" thickBot="1">
      <c r="A8" s="29">
        <v>19</v>
      </c>
      <c r="B8" s="99"/>
      <c r="C8" s="15" t="str">
        <f ca="1">"Présent lors du meurtre de Constantin. " &amp;IF(D8&gt;10,"Trait dirigé Suspicieux (chevaliers Silchester) "&amp;E8,"")</f>
        <v>Présent lors du meurtre de Constantin. Trait dirigé Suspicieux (chevaliers Silchester) 9</v>
      </c>
      <c r="D8" s="8">
        <f ca="1">RANDBETWEEN(1,20)</f>
        <v>17</v>
      </c>
      <c r="E8" s="8">
        <f ca="1">RANDBETWEEN(1,6)+6</f>
        <v>9</v>
      </c>
      <c r="F8" s="8"/>
      <c r="G8" s="8"/>
      <c r="H8" s="37"/>
      <c r="J8" s="70">
        <v>17</v>
      </c>
      <c r="K8" s="72" t="s">
        <v>24</v>
      </c>
    </row>
    <row r="9" spans="1:12" ht="15.75" thickBot="1">
      <c r="A9" s="30">
        <v>20</v>
      </c>
      <c r="B9" s="100"/>
      <c r="C9" s="16" t="str">
        <f ca="1">"Mort en essayant de protéger Constantin. " &amp;IF(D9&gt;2,"Trait dirigé Suspicieux (chevaliers Silchester) "&amp;E9,"")</f>
        <v>Mort en essayant de protéger Constantin. Trait dirigé Suspicieux (chevaliers Silchester) 11</v>
      </c>
      <c r="D9" s="11">
        <f ca="1">RANDBETWEEN(1,20)</f>
        <v>17</v>
      </c>
      <c r="E9" s="11">
        <f ca="1">RANDBETWEEN(1,6)+6</f>
        <v>11</v>
      </c>
      <c r="F9" s="11" t="s">
        <v>4</v>
      </c>
      <c r="G9" s="11">
        <v>1000</v>
      </c>
      <c r="H9" s="38"/>
    </row>
    <row r="10" spans="1:12" ht="15.75" thickBot="1">
      <c r="A10" s="28">
        <v>1</v>
      </c>
      <c r="B10" s="101" t="s">
        <v>22</v>
      </c>
      <c r="C10" s="14" t="str">
        <f ca="1">VLOOKUP(D10,$J$1:$K$8,2,TRUE)</f>
        <v>Disparu, n'est jamais revenu…</v>
      </c>
      <c r="D10" s="10">
        <f ca="1">RANDBETWEEN(1,20)</f>
        <v>18</v>
      </c>
      <c r="E10" s="10"/>
      <c r="F10" s="10" t="s">
        <v>4</v>
      </c>
      <c r="G10" s="10"/>
      <c r="H10" s="36"/>
      <c r="J10" s="94" t="s">
        <v>69</v>
      </c>
      <c r="K10" s="95"/>
      <c r="L10" s="4">
        <f ca="1">RANDBETWEEN(1,20)</f>
        <v>7</v>
      </c>
    </row>
    <row r="11" spans="1:12">
      <c r="A11" s="29">
        <v>2</v>
      </c>
      <c r="B11" s="102"/>
      <c r="C11" s="15" t="s">
        <v>23</v>
      </c>
      <c r="D11" s="8"/>
      <c r="E11" s="8"/>
      <c r="F11" s="8" t="s">
        <v>4</v>
      </c>
      <c r="G11" s="8">
        <v>20</v>
      </c>
      <c r="H11" s="37"/>
      <c r="J11" s="69">
        <v>1</v>
      </c>
      <c r="K11" s="71" t="s">
        <v>70</v>
      </c>
    </row>
    <row r="12" spans="1:12" ht="15.75" thickBot="1">
      <c r="A12" s="30">
        <v>7</v>
      </c>
      <c r="B12" s="103"/>
      <c r="C12" s="16" t="s">
        <v>20</v>
      </c>
      <c r="D12" s="11"/>
      <c r="E12" s="11"/>
      <c r="F12" s="11"/>
      <c r="G12" s="11">
        <v>20</v>
      </c>
      <c r="H12" s="38"/>
      <c r="J12" s="69">
        <v>2</v>
      </c>
      <c r="K12" s="71" t="s">
        <v>71</v>
      </c>
    </row>
    <row r="13" spans="1:12">
      <c r="A13" s="28">
        <v>1</v>
      </c>
      <c r="B13" s="98">
        <v>443</v>
      </c>
      <c r="C13" s="14" t="str">
        <f ca="1">VLOOKUP(D13,$J$1:$K$8,2,TRUE)</f>
        <v>Mort en bataille (envahisseurs étrangers)</v>
      </c>
      <c r="D13" s="10">
        <f ca="1">RANDBETWEEN(1,20)</f>
        <v>7</v>
      </c>
      <c r="E13" s="10"/>
      <c r="F13" s="10" t="s">
        <v>4</v>
      </c>
      <c r="G13" s="10"/>
      <c r="H13" s="36"/>
      <c r="J13" s="69">
        <v>3</v>
      </c>
      <c r="K13" s="71" t="s">
        <v>72</v>
      </c>
    </row>
    <row r="14" spans="1:12">
      <c r="A14" s="29">
        <v>2</v>
      </c>
      <c r="B14" s="99"/>
      <c r="C14" s="15" t="s">
        <v>23</v>
      </c>
      <c r="D14" s="8"/>
      <c r="E14" s="8"/>
      <c r="F14" s="8" t="s">
        <v>4</v>
      </c>
      <c r="G14" s="8">
        <v>20</v>
      </c>
      <c r="H14" s="37"/>
      <c r="J14" s="69">
        <v>4</v>
      </c>
      <c r="K14" s="71" t="s">
        <v>134</v>
      </c>
    </row>
    <row r="15" spans="1:12">
      <c r="A15" s="29">
        <v>11</v>
      </c>
      <c r="B15" s="99"/>
      <c r="C15" s="15" t="s">
        <v>20</v>
      </c>
      <c r="D15" s="8"/>
      <c r="E15" s="8"/>
      <c r="F15" s="8"/>
      <c r="G15" s="8">
        <v>20</v>
      </c>
      <c r="H15" s="37"/>
      <c r="J15" s="69">
        <v>5</v>
      </c>
      <c r="K15" s="71" t="s">
        <v>73</v>
      </c>
    </row>
    <row r="16" spans="1:12">
      <c r="A16" s="29">
        <v>19</v>
      </c>
      <c r="B16" s="99"/>
      <c r="C16" s="15" t="str">
        <f ca="1">"Présent lors du meurtre de Constans. " &amp;IF(D16&gt;10,"Passion Haine (Pictes) "&amp;E16,"")</f>
        <v xml:space="preserve">Présent lors du meurtre de Constans. </v>
      </c>
      <c r="D16" s="8">
        <f ca="1">RANDBETWEEN(1,20)</f>
        <v>9</v>
      </c>
      <c r="E16" s="8">
        <f ca="1">RANDBETWEEN(1,6)+6</f>
        <v>7</v>
      </c>
      <c r="F16" s="8"/>
      <c r="G16" s="8"/>
      <c r="H16" s="37"/>
      <c r="J16" s="69">
        <v>6</v>
      </c>
      <c r="K16" s="71" t="s">
        <v>135</v>
      </c>
    </row>
    <row r="17" spans="1:12" ht="15.75" thickBot="1">
      <c r="A17" s="30">
        <v>20</v>
      </c>
      <c r="B17" s="100"/>
      <c r="C17" s="16" t="str">
        <f ca="1">"Mort en essayant de protéger Constans. " &amp;IF(D17&gt;5,"Passion Haine (Pictes) "&amp;E17,"")</f>
        <v>Mort en essayant de protéger Constans. Passion Haine (Pictes) 7</v>
      </c>
      <c r="D17" s="11">
        <f ca="1">RANDBETWEEN(1,20)</f>
        <v>6</v>
      </c>
      <c r="E17" s="11">
        <f ca="1">RANDBETWEEN(1,6)+6</f>
        <v>7</v>
      </c>
      <c r="F17" s="11" t="s">
        <v>4</v>
      </c>
      <c r="G17" s="11">
        <v>1000</v>
      </c>
      <c r="H17" s="38"/>
      <c r="J17" s="69">
        <v>7</v>
      </c>
      <c r="K17" s="71" t="s">
        <v>74</v>
      </c>
    </row>
    <row r="18" spans="1:12">
      <c r="A18" s="28">
        <v>1</v>
      </c>
      <c r="B18" s="101" t="s">
        <v>65</v>
      </c>
      <c r="C18" s="14" t="str">
        <f ca="1">VLOOKUP(D18,$J$1:$K$8,2,TRUE)</f>
        <v>Disparu, n'est jamais revenu…</v>
      </c>
      <c r="D18" s="10">
        <f ca="1">RANDBETWEEN(1,20)</f>
        <v>20</v>
      </c>
      <c r="E18" s="10"/>
      <c r="F18" s="10" t="s">
        <v>4</v>
      </c>
      <c r="G18" s="10"/>
      <c r="H18" s="36"/>
      <c r="J18" s="69">
        <v>8</v>
      </c>
      <c r="K18" s="71" t="s">
        <v>75</v>
      </c>
    </row>
    <row r="19" spans="1:12">
      <c r="A19" s="29">
        <v>2</v>
      </c>
      <c r="B19" s="102"/>
      <c r="C19" s="15" t="s">
        <v>23</v>
      </c>
      <c r="D19" s="8"/>
      <c r="E19" s="8"/>
      <c r="F19" s="8" t="s">
        <v>4</v>
      </c>
      <c r="G19" s="8">
        <v>10</v>
      </c>
      <c r="H19" s="37"/>
      <c r="J19" s="69">
        <v>9</v>
      </c>
      <c r="K19" s="71" t="s">
        <v>76</v>
      </c>
    </row>
    <row r="20" spans="1:12">
      <c r="A20" s="29">
        <v>3</v>
      </c>
      <c r="B20" s="102"/>
      <c r="C20" s="15" t="s">
        <v>20</v>
      </c>
      <c r="D20" s="8"/>
      <c r="E20" s="8"/>
      <c r="F20" s="8"/>
      <c r="G20" s="8">
        <v>10</v>
      </c>
      <c r="H20" s="37"/>
      <c r="J20" s="69">
        <v>10</v>
      </c>
      <c r="K20" s="71" t="s">
        <v>77</v>
      </c>
    </row>
    <row r="21" spans="1:12" ht="15.75" thickBot="1">
      <c r="A21" s="30">
        <v>17</v>
      </c>
      <c r="B21" s="103"/>
      <c r="C21" s="16" t="s">
        <v>25</v>
      </c>
      <c r="D21" s="11"/>
      <c r="E21" s="11"/>
      <c r="F21" s="11"/>
      <c r="G21" s="11"/>
      <c r="H21" s="38"/>
      <c r="J21" s="69">
        <v>11</v>
      </c>
      <c r="K21" s="71" t="s">
        <v>78</v>
      </c>
    </row>
    <row r="22" spans="1:12">
      <c r="A22" s="28">
        <v>1</v>
      </c>
      <c r="B22" s="98">
        <v>446</v>
      </c>
      <c r="C22" s="14" t="str">
        <f ca="1">VLOOKUP(D22,$J$1:$K$8,2,TRUE)</f>
        <v>Mort dans un accident de chasse</v>
      </c>
      <c r="D22" s="10">
        <f ca="1">RANDBETWEEN(1,20)</f>
        <v>9</v>
      </c>
      <c r="E22" s="10"/>
      <c r="F22" s="10" t="s">
        <v>4</v>
      </c>
      <c r="G22" s="10"/>
      <c r="H22" s="36"/>
      <c r="J22" s="69">
        <v>12</v>
      </c>
      <c r="K22" s="71" t="s">
        <v>79</v>
      </c>
    </row>
    <row r="23" spans="1:12">
      <c r="A23" s="29">
        <v>2</v>
      </c>
      <c r="B23" s="99"/>
      <c r="C23" s="15" t="s">
        <v>25</v>
      </c>
      <c r="D23" s="8">
        <f ca="1">RANDBETWEEN(1,20)</f>
        <v>4</v>
      </c>
      <c r="E23" s="8"/>
      <c r="F23" s="8"/>
      <c r="G23" s="8"/>
      <c r="H23" s="37"/>
      <c r="J23" s="69">
        <v>13</v>
      </c>
      <c r="K23" s="71" t="s">
        <v>80</v>
      </c>
    </row>
    <row r="24" spans="1:12" ht="15.75" thickBot="1">
      <c r="A24" s="30">
        <v>6</v>
      </c>
      <c r="B24" s="100"/>
      <c r="C24" s="16" t="str">
        <f ca="1">IF(AND(D24=1, D23&gt;15),"Mort glorieuse à la bataille de Lincoln. Passion Haine (Pictes) " &amp; E24,IF(AND(D24=1, D23&lt;16),"Mort glorieuse à la bataille de Lincoln",IF(AND(D24&lt;4, D23&gt;15),"Mort à la bataille de Lincoln. Passion Haine (Pictes) " &amp; E24,IF(AND(D24&lt;4, D23&lt;16),"Mort à la bataille de Lincoln",IF(AND(D24&gt;3,D23&gt;15),"A survécu à la bataille de Lincoln. Haine (Pictes) " &amp; E24,"A survécu à la bataille de Lincoln")))))</f>
        <v>Mort glorieuse à la bataille de Lincoln</v>
      </c>
      <c r="D24" s="11">
        <f ca="1">RANDBETWEEN(1,20)</f>
        <v>1</v>
      </c>
      <c r="E24" s="11">
        <f t="shared" ref="E24" ca="1" si="1">RANDBETWEEN(1,6)+RANDBETWEEN(1,6)+RANDBETWEEN(1,6)</f>
        <v>11</v>
      </c>
      <c r="F24" s="11" t="str">
        <f ca="1">IF(D24&lt;3,"grand-père","")</f>
        <v>grand-père</v>
      </c>
      <c r="G24" s="11">
        <f ca="1">RANDBETWEEN(1,6)*30*2+IF(D24=1,RANDBETWEEN(1,20)*100,0)</f>
        <v>1960</v>
      </c>
      <c r="H24" s="38"/>
      <c r="J24" s="69">
        <v>14</v>
      </c>
      <c r="K24" s="71" t="s">
        <v>81</v>
      </c>
    </row>
    <row r="25" spans="1:12">
      <c r="A25" s="28">
        <v>1</v>
      </c>
      <c r="B25" s="98" t="s">
        <v>26</v>
      </c>
      <c r="C25" s="14" t="str">
        <f ca="1">VLOOKUP(D25,$J$1:$K$8,2,TRUE)</f>
        <v>Mort en bataille (vengeance personnelle)</v>
      </c>
      <c r="D25" s="10">
        <f ca="1">RANDBETWEEN(1,20)</f>
        <v>2</v>
      </c>
      <c r="E25" s="10"/>
      <c r="F25" s="10" t="s">
        <v>4</v>
      </c>
      <c r="G25" s="10"/>
      <c r="H25" s="36"/>
      <c r="J25" s="69">
        <v>15</v>
      </c>
      <c r="K25" s="71" t="s">
        <v>82</v>
      </c>
    </row>
    <row r="26" spans="1:12" ht="15.75" thickBot="1">
      <c r="A26" s="30">
        <v>2</v>
      </c>
      <c r="B26" s="100"/>
      <c r="C26" s="16" t="s">
        <v>27</v>
      </c>
      <c r="D26" s="11"/>
      <c r="E26" s="11"/>
      <c r="F26" s="11"/>
      <c r="G26" s="11"/>
      <c r="H26" s="38"/>
      <c r="J26" s="69">
        <v>16</v>
      </c>
      <c r="K26" s="71" t="s">
        <v>83</v>
      </c>
    </row>
    <row r="27" spans="1:12">
      <c r="A27" s="28">
        <v>1</v>
      </c>
      <c r="B27" s="98">
        <v>450</v>
      </c>
      <c r="C27" s="14" t="str">
        <f ca="1">VLOOKUP(D27,$J$1:$K$8,2,TRUE)</f>
        <v>Mort en bataille (terre voisine)</v>
      </c>
      <c r="D27" s="10">
        <f ca="1">RANDBETWEEN(1,20)</f>
        <v>4</v>
      </c>
      <c r="E27" s="10"/>
      <c r="F27" s="10" t="s">
        <v>4</v>
      </c>
      <c r="G27" s="10"/>
      <c r="H27" s="36"/>
      <c r="J27" s="69">
        <v>17</v>
      </c>
      <c r="K27" s="71" t="s">
        <v>84</v>
      </c>
    </row>
    <row r="28" spans="1:12">
      <c r="A28" s="29">
        <v>2</v>
      </c>
      <c r="B28" s="99"/>
      <c r="C28" s="15" t="s">
        <v>27</v>
      </c>
      <c r="D28" s="8"/>
      <c r="E28" s="8"/>
      <c r="F28" s="8"/>
      <c r="G28" s="8"/>
      <c r="H28" s="37"/>
      <c r="J28" s="69">
        <v>18</v>
      </c>
      <c r="K28" s="71" t="s">
        <v>136</v>
      </c>
    </row>
    <row r="29" spans="1:12">
      <c r="A29" s="29">
        <v>6</v>
      </c>
      <c r="B29" s="99"/>
      <c r="C29" s="15" t="s">
        <v>28</v>
      </c>
      <c r="D29" s="8"/>
      <c r="E29" s="8"/>
      <c r="F29" s="8"/>
      <c r="G29" s="8">
        <v>25</v>
      </c>
      <c r="H29" s="37"/>
      <c r="J29" s="69">
        <v>19</v>
      </c>
      <c r="K29" s="71" t="s">
        <v>85</v>
      </c>
    </row>
    <row r="30" spans="1:12" ht="15.75" thickBot="1">
      <c r="A30" s="30">
        <v>19</v>
      </c>
      <c r="B30" s="100"/>
      <c r="C30" s="16" t="s">
        <v>29</v>
      </c>
      <c r="D30" s="11"/>
      <c r="E30" s="11"/>
      <c r="F30" s="11"/>
      <c r="G30" s="11">
        <v>50</v>
      </c>
      <c r="H30" s="38"/>
      <c r="J30" s="70">
        <v>20</v>
      </c>
      <c r="K30" s="72" t="s">
        <v>86</v>
      </c>
    </row>
    <row r="31" spans="1:12" ht="15.75" thickBot="1">
      <c r="A31" s="28">
        <v>1</v>
      </c>
      <c r="B31" s="98">
        <v>451</v>
      </c>
      <c r="C31" s="14" t="str">
        <f ca="1">VLOOKUP(D31,$J$1:$K$8,2,TRUE)</f>
        <v>Disparu, n'est jamais revenu…</v>
      </c>
      <c r="D31" s="10">
        <f ca="1">RANDBETWEEN(1,20)</f>
        <v>17</v>
      </c>
      <c r="E31" s="10"/>
      <c r="F31" s="10" t="s">
        <v>4</v>
      </c>
      <c r="G31" s="10"/>
      <c r="H31" s="36"/>
    </row>
    <row r="32" spans="1:12" ht="15.75" thickBot="1">
      <c r="A32" s="30">
        <v>2</v>
      </c>
      <c r="B32" s="100"/>
      <c r="C32" s="16" t="str">
        <f ca="1">IF(Intro!B1="","Service de garnison  : n'a vu que peu de combats",IF(D32=1,"Mort glorieuse à la bataille de Chalon",IF(D32&lt;6,"Mort à la bataille de Chalon","A survécu à la bataille de Chalon et retourne en Bretagne avec tous les honneurs")))</f>
        <v>A survécu à la bataille de Chalon et retourne en Bretagne avec tous les honneurs</v>
      </c>
      <c r="D32" s="11">
        <f ca="1">RANDBETWEEN(1,20)</f>
        <v>8</v>
      </c>
      <c r="E32" s="11"/>
      <c r="F32" s="11" t="str">
        <f ca="1">IF(D32&lt;6,"grand-père","")</f>
        <v/>
      </c>
      <c r="G32" s="11">
        <f ca="1">IF(Intro!B1&lt;&gt;"",RANDBETWEEN(1,6)*45*3+IF(D4=1,1000,0),"")</f>
        <v>675</v>
      </c>
      <c r="H32" s="38"/>
      <c r="J32" s="96" t="s">
        <v>87</v>
      </c>
      <c r="K32" s="97"/>
      <c r="L32" s="4">
        <f ca="1">RANDBETWEEN(1,20)</f>
        <v>7</v>
      </c>
    </row>
    <row r="33" spans="1:12">
      <c r="A33" s="28">
        <v>1</v>
      </c>
      <c r="B33" s="98" t="s">
        <v>32</v>
      </c>
      <c r="C33" s="14" t="str">
        <f ca="1">VLOOKUP(D33,$J$1:$K$8,2,TRUE)</f>
        <v>Mort en bataille (vengeance personnelle)</v>
      </c>
      <c r="D33" s="10">
        <f ca="1">RANDBETWEEN(1,20)</f>
        <v>2</v>
      </c>
      <c r="E33" s="10"/>
      <c r="F33" s="10" t="s">
        <v>4</v>
      </c>
      <c r="G33" s="10"/>
      <c r="H33" s="36"/>
      <c r="J33" s="28">
        <v>1</v>
      </c>
      <c r="K33" s="73" t="s">
        <v>88</v>
      </c>
    </row>
    <row r="34" spans="1:12" ht="15.75" thickBot="1">
      <c r="A34" s="30">
        <v>2</v>
      </c>
      <c r="B34" s="100"/>
      <c r="C34" s="16" t="s">
        <v>27</v>
      </c>
      <c r="D34" s="11"/>
      <c r="E34" s="11"/>
      <c r="F34" s="11"/>
      <c r="G34" s="11"/>
      <c r="H34" s="38"/>
      <c r="J34" s="29">
        <v>2</v>
      </c>
      <c r="K34" s="74" t="str">
        <f ca="1">"Argent : " &amp; L34 &amp; "£ en vieilles pièces romaines"</f>
        <v>Argent : 32£ en vieilles pièces romaines</v>
      </c>
      <c r="L34" s="4">
        <f ca="1">RANDBETWEEN(1,6)+RANDBETWEEN(1,6)+RANDBETWEEN(1,6)+15</f>
        <v>32</v>
      </c>
    </row>
    <row r="35" spans="1:12">
      <c r="A35" s="28">
        <v>1</v>
      </c>
      <c r="B35" s="98" t="s">
        <v>33</v>
      </c>
      <c r="C35" s="14" t="str">
        <f ca="1">VLOOKUP(D35,$J$1:$K$8,2,TRUE)</f>
        <v>Disparu, n'est jamais revenu…</v>
      </c>
      <c r="D35" s="10">
        <f ca="1">RANDBETWEEN(1,20)</f>
        <v>19</v>
      </c>
      <c r="E35" s="10"/>
      <c r="F35" s="10" t="s">
        <v>4</v>
      </c>
      <c r="G35" s="10"/>
      <c r="H35" s="36"/>
      <c r="J35" s="29">
        <v>3</v>
      </c>
      <c r="K35" s="74" t="str">
        <f ca="1">"Argent : " &amp; L35 &amp; "£ en vieilles pièces romaines"</f>
        <v>Argent : 24£ en vieilles pièces romaines</v>
      </c>
      <c r="L35" s="4">
        <f ca="1">RANDBETWEEN(1,6)+RANDBETWEEN(1,6)+RANDBETWEEN(1,6)+RANDBETWEEN(1,6)+RANDBETWEEN(1,6)+RANDBETWEEN(1,6)+RANDBETWEEN(1,6)+RANDBETWEEN(1,6)</f>
        <v>24</v>
      </c>
    </row>
    <row r="36" spans="1:12" ht="60.75" thickBot="1">
      <c r="A36" s="30">
        <v>2</v>
      </c>
      <c r="B36" s="100"/>
      <c r="C36" s="16" t="s">
        <v>27</v>
      </c>
      <c r="D36" s="11"/>
      <c r="E36" s="11"/>
      <c r="F36" s="11"/>
      <c r="G36" s="11"/>
      <c r="H36" s="38"/>
      <c r="J36" s="29">
        <v>4</v>
      </c>
      <c r="K36" s="75" t="s">
        <v>91</v>
      </c>
    </row>
    <row r="37" spans="1:12">
      <c r="A37" s="28">
        <v>1</v>
      </c>
      <c r="B37" s="98">
        <v>457</v>
      </c>
      <c r="C37" s="14" t="str">
        <f ca="1">VLOOKUP(D37,$J$1:$K$8,2,TRUE)</f>
        <v>Mort en bataille (terre voisine)</v>
      </c>
      <c r="D37" s="10">
        <f ca="1">RANDBETWEEN(1,20)</f>
        <v>4</v>
      </c>
      <c r="E37" s="10"/>
      <c r="F37" s="10" t="s">
        <v>4</v>
      </c>
      <c r="G37" s="10"/>
      <c r="H37" s="36"/>
      <c r="J37" s="29">
        <v>5</v>
      </c>
      <c r="K37" s="74" t="s">
        <v>92</v>
      </c>
    </row>
    <row r="38" spans="1:12" ht="60">
      <c r="A38" s="29">
        <v>2</v>
      </c>
      <c r="B38" s="99"/>
      <c r="C38" s="15" t="s">
        <v>18</v>
      </c>
      <c r="D38" s="8">
        <f ca="1">RANDBETWEEN(1,20)</f>
        <v>17</v>
      </c>
      <c r="E38" s="8"/>
      <c r="F38" s="8"/>
      <c r="G38" s="8"/>
      <c r="H38" s="37"/>
      <c r="J38" s="29">
        <v>6</v>
      </c>
      <c r="K38" s="75" t="s">
        <v>93</v>
      </c>
    </row>
    <row r="39" spans="1:12" ht="15.75" thickBot="1">
      <c r="A39" s="30">
        <v>6</v>
      </c>
      <c r="B39" s="100"/>
      <c r="C39" s="16" t="str">
        <f ca="1">IF(D39=1,"Mort glorieuse à la bataille du Kent",IF(D39&lt;4,"Mort à la bataille du Kent","A survécu à la bataille du Kent"))</f>
        <v>A survécu à la bataille du Kent</v>
      </c>
      <c r="D39" s="11">
        <f ca="1">RANDBETWEEN(1,20)</f>
        <v>15</v>
      </c>
      <c r="E39" s="11"/>
      <c r="F39" s="11" t="str">
        <f ca="1">IF(D39&lt;4,"grand-père","")</f>
        <v/>
      </c>
      <c r="G39" s="11">
        <f ca="1">RANDBETWEEN(1,6)*30*2+IF(D39=1,1000,0)</f>
        <v>180</v>
      </c>
      <c r="H39" s="38"/>
      <c r="J39" s="29">
        <v>7</v>
      </c>
      <c r="K39" s="74" t="s">
        <v>139</v>
      </c>
    </row>
    <row r="40" spans="1:12">
      <c r="A40" s="28">
        <v>1</v>
      </c>
      <c r="B40" s="98" t="s">
        <v>34</v>
      </c>
      <c r="C40" s="14" t="str">
        <f ca="1">VLOOKUP(D40,$J$1:$K$8,2,TRUE)</f>
        <v>Mort en bataille (vengeance personnelle)</v>
      </c>
      <c r="D40" s="10">
        <f ca="1">RANDBETWEEN(1,20)</f>
        <v>1</v>
      </c>
      <c r="E40" s="10"/>
      <c r="F40" s="10" t="s">
        <v>4</v>
      </c>
      <c r="G40" s="10"/>
      <c r="H40" s="36"/>
      <c r="J40" s="29">
        <v>8</v>
      </c>
      <c r="K40" s="74" t="s">
        <v>94</v>
      </c>
    </row>
    <row r="41" spans="1:12" ht="15.75" thickBot="1">
      <c r="A41" s="30">
        <v>2</v>
      </c>
      <c r="B41" s="100"/>
      <c r="C41" s="16" t="s">
        <v>25</v>
      </c>
      <c r="D41" s="11"/>
      <c r="E41" s="11"/>
      <c r="F41" s="11"/>
      <c r="G41" s="11"/>
      <c r="H41" s="38"/>
      <c r="J41" s="29">
        <v>9</v>
      </c>
      <c r="K41" s="74" t="s">
        <v>95</v>
      </c>
    </row>
    <row r="42" spans="1:12" ht="30">
      <c r="A42" s="28">
        <v>1</v>
      </c>
      <c r="B42" s="98">
        <v>460</v>
      </c>
      <c r="C42" s="14" t="str">
        <f ca="1">VLOOKUP(D42,$J$1:$K$8,2,TRUE)</f>
        <v>Mort en bataille (envahisseurs étrangers)</v>
      </c>
      <c r="D42" s="10">
        <f ca="1">RANDBETWEEN(1,20)</f>
        <v>7</v>
      </c>
      <c r="E42" s="10"/>
      <c r="F42" s="10" t="s">
        <v>4</v>
      </c>
      <c r="G42" s="10"/>
      <c r="H42" s="36"/>
      <c r="J42" s="29">
        <v>10</v>
      </c>
      <c r="K42" s="75" t="s">
        <v>96</v>
      </c>
    </row>
    <row r="43" spans="1:12" ht="45.75" thickBot="1">
      <c r="A43" s="30">
        <v>2</v>
      </c>
      <c r="B43" s="100"/>
      <c r="C43" s="16" t="s">
        <v>25</v>
      </c>
      <c r="D43" s="11"/>
      <c r="E43" s="11"/>
      <c r="F43" s="11"/>
      <c r="G43" s="11"/>
      <c r="H43" s="38"/>
      <c r="J43" s="29">
        <v>11</v>
      </c>
      <c r="K43" s="75" t="s">
        <v>97</v>
      </c>
    </row>
    <row r="44" spans="1:12" ht="45">
      <c r="A44" s="28">
        <v>1</v>
      </c>
      <c r="B44" s="98">
        <v>461</v>
      </c>
      <c r="C44" s="14" t="str">
        <f ca="1">VLOOKUP(D44,$J$1:$K$8,2,TRUE)</f>
        <v>Mort en bataille (envahisseurs étrangers)</v>
      </c>
      <c r="D44" s="10">
        <f ca="1">RANDBETWEEN(1,20)</f>
        <v>7</v>
      </c>
      <c r="E44" s="10"/>
      <c r="F44" s="10" t="s">
        <v>4</v>
      </c>
      <c r="G44" s="10"/>
      <c r="H44" s="36"/>
      <c r="J44" s="29">
        <v>12</v>
      </c>
      <c r="K44" s="75" t="s">
        <v>98</v>
      </c>
    </row>
    <row r="45" spans="1:12" ht="30.75" thickBot="1">
      <c r="A45" s="30">
        <v>2</v>
      </c>
      <c r="B45" s="100"/>
      <c r="C45" s="16" t="s">
        <v>25</v>
      </c>
      <c r="D45" s="11"/>
      <c r="E45" s="11"/>
      <c r="F45" s="11"/>
      <c r="G45" s="11"/>
      <c r="H45" s="38"/>
      <c r="J45" s="29">
        <v>13</v>
      </c>
      <c r="K45" s="75" t="s">
        <v>138</v>
      </c>
    </row>
    <row r="46" spans="1:12" ht="60">
      <c r="A46" s="28">
        <v>1</v>
      </c>
      <c r="B46" s="98">
        <v>462</v>
      </c>
      <c r="C46" s="14" t="str">
        <f ca="1">VLOOKUP(D46,$J$1:$K$8,2,TRUE)</f>
        <v>Mort en bataille (terre voisine)</v>
      </c>
      <c r="D46" s="10">
        <f ca="1">RANDBETWEEN(1,20)</f>
        <v>5</v>
      </c>
      <c r="E46" s="10"/>
      <c r="F46" s="10" t="s">
        <v>4</v>
      </c>
      <c r="G46" s="10"/>
      <c r="H46" s="36"/>
      <c r="J46" s="29">
        <v>14</v>
      </c>
      <c r="K46" s="75" t="s">
        <v>99</v>
      </c>
    </row>
    <row r="47" spans="1:12" ht="30">
      <c r="A47" s="29">
        <v>2</v>
      </c>
      <c r="B47" s="99"/>
      <c r="C47" s="15" t="s">
        <v>25</v>
      </c>
      <c r="D47" s="8"/>
      <c r="E47" s="8"/>
      <c r="F47" s="8"/>
      <c r="G47" s="8"/>
      <c r="H47" s="37"/>
      <c r="J47" s="29">
        <v>15</v>
      </c>
      <c r="K47" s="75" t="s">
        <v>100</v>
      </c>
    </row>
    <row r="48" spans="1:12" ht="90.75" thickBot="1">
      <c r="A48" s="30">
        <v>6</v>
      </c>
      <c r="B48" s="100"/>
      <c r="C48" s="16" t="str">
        <f ca="1">IF(D48=1,"Mort glorieuse à la bataille de Cambridge",IF(D48&lt;5,"Mort à la bataille de Cambridge","Grand-père a survécu à la bataille de Cambridge"))</f>
        <v>Mort à la bataille de Cambridge</v>
      </c>
      <c r="D48" s="11">
        <f ca="1">RANDBETWEEN(1,20)</f>
        <v>3</v>
      </c>
      <c r="E48" s="11"/>
      <c r="F48" s="11" t="str">
        <f ca="1">IF(D48&lt;4,"grand-père","")</f>
        <v>grand-père</v>
      </c>
      <c r="G48" s="11"/>
      <c r="H48" s="38">
        <f ca="1">RANDBETWEEN(1,6)*30+IF(E48=1,1000,0)+IF(E48&gt;3,10,0)</f>
        <v>90</v>
      </c>
      <c r="J48" s="29">
        <v>16</v>
      </c>
      <c r="K48" s="75" t="s">
        <v>101</v>
      </c>
    </row>
    <row r="49" spans="1:11" ht="75.75" thickBot="1">
      <c r="A49" s="31">
        <v>1</v>
      </c>
      <c r="B49" s="12">
        <v>463</v>
      </c>
      <c r="C49" s="17" t="str">
        <f ca="1">"Traitrise de la nuit des longs couteaux. Grand-père assassiné. Passion Haine (Saxons) " &amp; E49</f>
        <v>Traitrise de la nuit des longs couteaux. Grand-père assassiné. Passion Haine (Saxons) 15</v>
      </c>
      <c r="D49" s="12"/>
      <c r="E49" s="12">
        <f ca="1">RANDBETWEEN(1,6)+RANDBETWEEN(1,6)+RANDBETWEEN(1,6)+6</f>
        <v>15</v>
      </c>
      <c r="F49" s="12" t="s">
        <v>4</v>
      </c>
      <c r="G49" s="12"/>
      <c r="H49" s="39"/>
      <c r="J49" s="29">
        <v>17</v>
      </c>
      <c r="K49" s="75" t="s">
        <v>137</v>
      </c>
    </row>
    <row r="50" spans="1:11">
      <c r="A50" s="28">
        <v>1</v>
      </c>
      <c r="B50" s="98">
        <v>464</v>
      </c>
      <c r="C50" s="14" t="s">
        <v>36</v>
      </c>
      <c r="D50" s="10"/>
      <c r="E50" s="10"/>
      <c r="F50" s="10"/>
      <c r="G50" s="10">
        <v>25</v>
      </c>
      <c r="H50" s="36"/>
      <c r="J50" s="29">
        <v>18</v>
      </c>
      <c r="K50" s="74" t="s">
        <v>140</v>
      </c>
    </row>
    <row r="51" spans="1:11">
      <c r="A51" s="29">
        <v>5</v>
      </c>
      <c r="B51" s="99"/>
      <c r="C51" s="15" t="s">
        <v>37</v>
      </c>
      <c r="D51" s="8"/>
      <c r="E51" s="8"/>
      <c r="F51" s="8"/>
      <c r="G51" s="8">
        <v>50</v>
      </c>
      <c r="H51" s="37"/>
      <c r="J51" s="29">
        <v>19</v>
      </c>
      <c r="K51" s="74" t="s">
        <v>102</v>
      </c>
    </row>
    <row r="52" spans="1:11" ht="15.75" thickBot="1">
      <c r="A52" s="29">
        <v>8</v>
      </c>
      <c r="B52" s="99"/>
      <c r="C52" s="15" t="s">
        <v>38</v>
      </c>
      <c r="D52" s="8"/>
      <c r="E52" s="8"/>
      <c r="F52" s="8"/>
      <c r="G52" s="8">
        <v>100</v>
      </c>
      <c r="H52" s="37"/>
      <c r="J52" s="30">
        <v>20</v>
      </c>
      <c r="K52" s="76" t="s">
        <v>103</v>
      </c>
    </row>
    <row r="53" spans="1:11">
      <c r="A53" s="29">
        <v>18</v>
      </c>
      <c r="B53" s="99"/>
      <c r="C53" s="15" t="s">
        <v>39</v>
      </c>
      <c r="D53" s="8"/>
      <c r="E53" s="8"/>
      <c r="F53" s="8"/>
      <c r="G53" s="40">
        <v>200</v>
      </c>
      <c r="H53" s="37"/>
    </row>
    <row r="54" spans="1:11" ht="15.75" thickBot="1">
      <c r="A54" s="30">
        <v>20</v>
      </c>
      <c r="B54" s="100"/>
      <c r="C54" s="16" t="s">
        <v>40</v>
      </c>
      <c r="D54" s="11"/>
      <c r="E54" s="11"/>
      <c r="F54" s="11"/>
      <c r="G54" s="41">
        <v>350</v>
      </c>
      <c r="H54" s="38"/>
    </row>
    <row r="55" spans="1:11" ht="15.75" thickBot="1">
      <c r="A55" s="31">
        <v>1</v>
      </c>
      <c r="B55" s="12">
        <v>465</v>
      </c>
      <c r="C55" s="19" t="s">
        <v>41</v>
      </c>
      <c r="D55" s="12"/>
      <c r="E55" s="12"/>
      <c r="F55" s="12"/>
      <c r="G55" s="12"/>
      <c r="H55" s="39"/>
    </row>
    <row r="56" spans="1:11">
      <c r="A56" s="28">
        <v>1</v>
      </c>
      <c r="B56" s="98" t="s">
        <v>42</v>
      </c>
      <c r="C56" s="14" t="str">
        <f ca="1">VLOOKUP(D56,$J$1:$K$8,2,TRUE)</f>
        <v>Mort de causes naturelles</v>
      </c>
      <c r="D56" s="10">
        <f ca="1">RANDBETWEEN(1,20)</f>
        <v>12</v>
      </c>
      <c r="E56" s="10"/>
      <c r="F56" s="10" t="s">
        <v>43</v>
      </c>
      <c r="G56" s="10"/>
      <c r="H56" s="36"/>
    </row>
    <row r="57" spans="1:11">
      <c r="A57" s="29">
        <v>2</v>
      </c>
      <c r="B57" s="99"/>
      <c r="C57" s="15" t="s">
        <v>25</v>
      </c>
      <c r="D57" s="8"/>
      <c r="E57" s="8"/>
      <c r="F57" s="8"/>
      <c r="G57" s="8"/>
      <c r="H57" s="37"/>
    </row>
    <row r="58" spans="1:11" ht="15.75" thickBot="1">
      <c r="A58" s="30">
        <v>6</v>
      </c>
      <c r="B58" s="100"/>
      <c r="C58" s="16" t="str">
        <f ca="1">IF(D58=1,"Mort glorieuse au siège de Carlion",IF(D58&lt;4,"Mort au siège de Carlion","A survécu au siège de Carlion"))</f>
        <v>A survécu au siège de Carlion</v>
      </c>
      <c r="D58" s="11">
        <f ca="1">RANDBETWEEN(1,20)</f>
        <v>7</v>
      </c>
      <c r="E58" s="11"/>
      <c r="F58" s="11" t="str">
        <f ca="1">IF(D58&lt;4,"père","")</f>
        <v/>
      </c>
      <c r="G58" s="11">
        <f ca="1">RANDBETWEEN(1,6)*30*2+IF(D58=1,1000,0)</f>
        <v>60</v>
      </c>
      <c r="H58" s="38"/>
    </row>
    <row r="59" spans="1:11">
      <c r="A59" s="28">
        <v>1</v>
      </c>
      <c r="B59" s="98">
        <v>468</v>
      </c>
      <c r="C59" s="14" t="str">
        <f ca="1">VLOOKUP(D59,$J$1:$K$8,2,TRUE)</f>
        <v>Disparu, n'est jamais revenu…</v>
      </c>
      <c r="D59" s="10">
        <f ca="1">RANDBETWEEN(1,20)</f>
        <v>20</v>
      </c>
      <c r="E59" s="10"/>
      <c r="F59" s="10" t="s">
        <v>43</v>
      </c>
      <c r="G59" s="10"/>
      <c r="H59" s="36"/>
    </row>
    <row r="60" spans="1:11">
      <c r="A60" s="29">
        <v>2</v>
      </c>
      <c r="B60" s="99"/>
      <c r="C60" s="15" t="s">
        <v>25</v>
      </c>
      <c r="D60" s="8"/>
      <c r="E60" s="8"/>
      <c r="F60" s="8"/>
      <c r="G60" s="8"/>
      <c r="H60" s="37"/>
    </row>
    <row r="61" spans="1:11" ht="15.75" thickBot="1">
      <c r="A61" s="30">
        <v>6</v>
      </c>
      <c r="B61" s="100"/>
      <c r="C61" s="16" t="str">
        <f ca="1">IF(D61=1,"Mort glorieuse à la bataille de Snowdon","A survécu à la bataille de Snowdon")</f>
        <v>A survécu à la bataille de Snowdon</v>
      </c>
      <c r="D61" s="11">
        <f ca="1">RANDBETWEEN(1,20)</f>
        <v>10</v>
      </c>
      <c r="E61" s="11"/>
      <c r="F61" s="11" t="str">
        <f ca="1">IF(D61=1,"père","")</f>
        <v/>
      </c>
      <c r="G61" s="11">
        <f ca="1">RANDBETWEEN(1,3)*15*2+IF(D61=1,1000,0)</f>
        <v>60</v>
      </c>
      <c r="H61" s="38"/>
    </row>
    <row r="62" spans="1:11">
      <c r="A62" s="32">
        <v>1</v>
      </c>
      <c r="B62" s="104" t="s">
        <v>44</v>
      </c>
      <c r="C62" s="23" t="str">
        <f ca="1">VLOOKUP(D62,$J$1:$K$8,2,TRUE)</f>
        <v>Disparu, n'est jamais revenu…</v>
      </c>
      <c r="D62" s="22">
        <f ca="1">RANDBETWEEN(1,20)</f>
        <v>20</v>
      </c>
      <c r="E62" s="22"/>
      <c r="F62" s="22" t="s">
        <v>43</v>
      </c>
      <c r="G62" s="22"/>
      <c r="H62" s="42"/>
    </row>
    <row r="63" spans="1:11">
      <c r="A63" s="33">
        <v>2</v>
      </c>
      <c r="B63" s="105"/>
      <c r="C63" s="21" t="s">
        <v>45</v>
      </c>
      <c r="D63" s="20"/>
      <c r="E63" s="20"/>
      <c r="F63" s="20"/>
      <c r="G63" s="20">
        <v>25</v>
      </c>
      <c r="H63" s="43"/>
    </row>
    <row r="64" spans="1:11">
      <c r="A64" s="33">
        <v>6</v>
      </c>
      <c r="B64" s="105"/>
      <c r="C64" s="21" t="s">
        <v>45</v>
      </c>
      <c r="D64" s="20"/>
      <c r="E64" s="20"/>
      <c r="F64" s="20"/>
      <c r="G64" s="20">
        <v>50</v>
      </c>
      <c r="H64" s="43"/>
    </row>
    <row r="65" spans="1:8">
      <c r="A65" s="33">
        <v>11</v>
      </c>
      <c r="B65" s="105"/>
      <c r="C65" s="21" t="s">
        <v>45</v>
      </c>
      <c r="D65" s="20"/>
      <c r="E65" s="20"/>
      <c r="F65" s="20"/>
      <c r="G65" s="20">
        <v>100</v>
      </c>
      <c r="H65" s="43"/>
    </row>
    <row r="66" spans="1:8" ht="15.75" thickBot="1">
      <c r="A66" s="34">
        <v>16</v>
      </c>
      <c r="B66" s="106"/>
      <c r="C66" s="25" t="s">
        <v>45</v>
      </c>
      <c r="D66" s="24"/>
      <c r="E66" s="24"/>
      <c r="F66" s="24"/>
      <c r="G66" s="44">
        <v>200</v>
      </c>
      <c r="H66" s="45"/>
    </row>
    <row r="67" spans="1:8">
      <c r="A67" s="28">
        <v>1</v>
      </c>
      <c r="B67" s="98">
        <v>473</v>
      </c>
      <c r="C67" s="14" t="str">
        <f ca="1">VLOOKUP(D67,$J$1:$K$8,2,TRUE)</f>
        <v>Disparu, n'est jamais revenu…</v>
      </c>
      <c r="D67" s="10">
        <f ca="1">RANDBETWEEN(1,20)</f>
        <v>20</v>
      </c>
      <c r="E67" s="10"/>
      <c r="F67" s="10" t="s">
        <v>43</v>
      </c>
      <c r="G67" s="10"/>
      <c r="H67" s="36"/>
    </row>
    <row r="68" spans="1:8">
      <c r="A68" s="29">
        <v>2</v>
      </c>
      <c r="B68" s="99"/>
      <c r="C68" s="15" t="s">
        <v>25</v>
      </c>
      <c r="D68" s="8"/>
      <c r="E68" s="8"/>
      <c r="F68" s="8"/>
      <c r="G68" s="8"/>
      <c r="H68" s="37"/>
    </row>
    <row r="69" spans="1:8" ht="15.75" thickBot="1">
      <c r="A69" s="30">
        <v>11</v>
      </c>
      <c r="B69" s="100"/>
      <c r="C69" s="16" t="str">
        <f ca="1">IF(D69=1,"Mort glorieuse à la bataille de Windsor",IF(D69&lt;4,"Mort à la bataille de Windsor. Passion Haine (Saxons) " &amp; E69,"A survécu à la bataille de Windsor. Passion Haine (Saxons) " &amp; E69))</f>
        <v>A survécu à la bataille de Windsor. Passion Haine (Saxons) 18</v>
      </c>
      <c r="D69" s="11">
        <f ca="1">RANDBETWEEN(1,20)</f>
        <v>16</v>
      </c>
      <c r="E69" s="11">
        <f ca="1">RANDBETWEEN(1,6)+RANDBETWEEN(1,6)+6</f>
        <v>18</v>
      </c>
      <c r="F69" s="11" t="str">
        <f ca="1">IF(D69&lt;4,"père","")</f>
        <v/>
      </c>
      <c r="G69" s="11">
        <f ca="1">RANDBETWEEN(1,6)*30*0.5+IF(D69=1,1000,0)</f>
        <v>15</v>
      </c>
      <c r="H69" s="38"/>
    </row>
    <row r="70" spans="1:8">
      <c r="A70" s="28">
        <v>1</v>
      </c>
      <c r="B70" s="98" t="s">
        <v>46</v>
      </c>
      <c r="C70" s="14" t="str">
        <f ca="1">VLOOKUP(D70,$J$1:$K$8,2,TRUE)</f>
        <v>Mort de causes naturelles</v>
      </c>
      <c r="D70" s="10">
        <f ca="1">RANDBETWEEN(1,20)</f>
        <v>12</v>
      </c>
      <c r="E70" s="10"/>
      <c r="F70" s="10" t="s">
        <v>43</v>
      </c>
      <c r="G70" s="10"/>
      <c r="H70" s="36"/>
    </row>
    <row r="71" spans="1:8">
      <c r="A71" s="29">
        <v>2</v>
      </c>
      <c r="B71" s="99"/>
      <c r="C71" s="15" t="s">
        <v>48</v>
      </c>
      <c r="D71" s="8"/>
      <c r="E71" s="8"/>
      <c r="F71" s="8" t="s">
        <v>43</v>
      </c>
      <c r="G71" s="8">
        <v>25</v>
      </c>
      <c r="H71" s="37"/>
    </row>
    <row r="72" spans="1:8" ht="15.75" thickBot="1">
      <c r="A72" s="30">
        <v>5</v>
      </c>
      <c r="B72" s="100"/>
      <c r="C72" s="16" t="s">
        <v>20</v>
      </c>
      <c r="D72" s="11"/>
      <c r="E72" s="11"/>
      <c r="F72" s="11"/>
      <c r="G72" s="11">
        <v>25</v>
      </c>
      <c r="H72" s="38"/>
    </row>
    <row r="73" spans="1:8">
      <c r="A73" s="28">
        <v>1</v>
      </c>
      <c r="B73" s="98">
        <v>477</v>
      </c>
      <c r="C73" s="14" t="str">
        <f ca="1">VLOOKUP(D73,$J$1:$K$8,2,TRUE)</f>
        <v>Mort en bataille (envahisseurs étrangers)</v>
      </c>
      <c r="D73" s="10">
        <f ca="1">RANDBETWEEN(1,20)</f>
        <v>7</v>
      </c>
      <c r="E73" s="10"/>
      <c r="F73" s="10" t="s">
        <v>43</v>
      </c>
      <c r="G73" s="10"/>
      <c r="H73" s="36"/>
    </row>
    <row r="74" spans="1:8" ht="15.75" thickBot="1">
      <c r="A74" s="30">
        <v>2</v>
      </c>
      <c r="B74" s="100"/>
      <c r="C74" s="16" t="s">
        <v>20</v>
      </c>
      <c r="D74" s="11"/>
      <c r="E74" s="11"/>
      <c r="F74" s="11"/>
      <c r="G74" s="11"/>
      <c r="H74" s="38"/>
    </row>
    <row r="75" spans="1:8">
      <c r="A75" s="28">
        <v>1</v>
      </c>
      <c r="B75" s="98" t="s">
        <v>49</v>
      </c>
      <c r="C75" s="14" t="str">
        <f ca="1">VLOOKUP(D75,$J$1:$K$8,2,TRUE)</f>
        <v>Mort en bataille (terre voisine)</v>
      </c>
      <c r="D75" s="10">
        <f ca="1">RANDBETWEEN(1,20)</f>
        <v>4</v>
      </c>
      <c r="E75" s="10"/>
      <c r="F75" s="10" t="s">
        <v>43</v>
      </c>
      <c r="G75" s="10"/>
      <c r="H75" s="36"/>
    </row>
    <row r="76" spans="1:8">
      <c r="A76" s="29">
        <v>2</v>
      </c>
      <c r="B76" s="99"/>
      <c r="C76" s="15" t="str">
        <f ca="1">IF(D76=1,"Mort glorieuse contre les saxons à Salisbury",IF(D76&lt;6,"Mort en combattant les saxons à Salisbury","A survécu au combat contre les saxons à Salisbury"))</f>
        <v>Mort en combattant les saxons à Salisbury</v>
      </c>
      <c r="D76" s="8">
        <f ca="1">RANDBETWEEN(1,20)</f>
        <v>2</v>
      </c>
      <c r="E76" s="8"/>
      <c r="F76" s="8" t="str">
        <f ca="1">IF(D76&lt;6,"père","")</f>
        <v>père</v>
      </c>
      <c r="G76" s="8">
        <f ca="1">RANDBETWEEN(1,6)*20+IF(D76=1,1000,0)</f>
        <v>120</v>
      </c>
      <c r="H76" s="37"/>
    </row>
    <row r="77" spans="1:8" ht="15.75" thickBot="1">
      <c r="A77" s="30">
        <v>11</v>
      </c>
      <c r="B77" s="100"/>
      <c r="C77" s="16" t="str">
        <f ca="1">IF(D77=1,"Mort glorieuse à la bataille de Frisie",IF(D77&lt;6,"Mort en combattant à la bataille de Frisie","A survécu à la bataille de Frisie"))</f>
        <v>A survécu à la bataille de Frisie</v>
      </c>
      <c r="D77" s="11">
        <f ca="1">RANDBETWEEN(1,20)</f>
        <v>13</v>
      </c>
      <c r="E77" s="11"/>
      <c r="F77" s="11" t="str">
        <f ca="1">IF(D77&lt;6,"père","")</f>
        <v/>
      </c>
      <c r="G77" s="11">
        <f ca="1">RANDBETWEEN(1,6)*15+IF(D77=1,1000,0)</f>
        <v>15</v>
      </c>
      <c r="H77" s="38"/>
    </row>
    <row r="78" spans="1:8">
      <c r="A78" s="28">
        <v>1</v>
      </c>
      <c r="B78" s="98">
        <v>480</v>
      </c>
      <c r="C78" s="14" t="str">
        <f ca="1">VLOOKUP(D78,$J$1:$K$8,2,TRUE)</f>
        <v>Mort en bataille (terre voisine)</v>
      </c>
      <c r="D78" s="10">
        <f ca="1">RANDBETWEEN(1,20)</f>
        <v>5</v>
      </c>
      <c r="E78" s="10"/>
      <c r="F78" s="10" t="s">
        <v>43</v>
      </c>
      <c r="G78" s="10"/>
      <c r="H78" s="36"/>
    </row>
    <row r="79" spans="1:8">
      <c r="A79" s="29">
        <v>2</v>
      </c>
      <c r="B79" s="99"/>
      <c r="C79" s="15" t="s">
        <v>25</v>
      </c>
      <c r="D79" s="8"/>
      <c r="E79" s="8"/>
      <c r="F79" s="8"/>
      <c r="G79" s="8"/>
      <c r="H79" s="37"/>
    </row>
    <row r="80" spans="1:8" ht="15.75" thickBot="1">
      <c r="A80" s="30">
        <v>3</v>
      </c>
      <c r="B80" s="100"/>
      <c r="C80" s="16" t="str">
        <f ca="1">IF(D80=1,"Mort glorieuse à la bataille de Salisbury",IF(D80&lt;6,"Mort en combattant à la bataille de Salisbury","A survécu à la bataille de Salisbury"))</f>
        <v>Mort en combattant à la bataille de Salisbury</v>
      </c>
      <c r="D80" s="11">
        <f ca="1">RANDBETWEEN(1,20)</f>
        <v>5</v>
      </c>
      <c r="E80" s="11"/>
      <c r="F80" s="11" t="str">
        <f ca="1">IF(D80&lt;6,"père","")</f>
        <v>père</v>
      </c>
      <c r="G80" s="11">
        <f ca="1">RANDBETWEEN(1,6)*45*2+IF(D80=1,1000,0)</f>
        <v>450</v>
      </c>
      <c r="H80" s="38"/>
    </row>
    <row r="81" spans="1:8">
      <c r="A81" s="28">
        <v>1</v>
      </c>
      <c r="B81" s="98" t="s">
        <v>50</v>
      </c>
      <c r="C81" s="14" t="str">
        <f ca="1">VLOOKUP(D81,$J$1:$K$8,2,TRUE)</f>
        <v>Mort en bataille (terre voisine)</v>
      </c>
      <c r="D81" s="10">
        <f ca="1">RANDBETWEEN(1,20)</f>
        <v>4</v>
      </c>
      <c r="E81" s="10"/>
      <c r="F81" s="10" t="s">
        <v>43</v>
      </c>
      <c r="G81" s="10"/>
      <c r="H81" s="36"/>
    </row>
    <row r="82" spans="1:8">
      <c r="A82" s="29">
        <v>2</v>
      </c>
      <c r="B82" s="99"/>
      <c r="C82" s="15" t="s">
        <v>51</v>
      </c>
      <c r="D82" s="8"/>
      <c r="E82" s="8"/>
      <c r="F82" s="8"/>
      <c r="G82" s="8">
        <v>25</v>
      </c>
      <c r="H82" s="37"/>
    </row>
    <row r="83" spans="1:8" ht="15.75" thickBot="1">
      <c r="A83" s="30">
        <v>5</v>
      </c>
      <c r="B83" s="100"/>
      <c r="C83" s="16" t="s">
        <v>25</v>
      </c>
      <c r="D83" s="11"/>
      <c r="E83" s="11"/>
      <c r="F83" s="11"/>
      <c r="G83" s="11"/>
      <c r="H83" s="38"/>
    </row>
    <row r="84" spans="1:8">
      <c r="A84" s="28">
        <v>1</v>
      </c>
      <c r="B84" s="98">
        <v>484</v>
      </c>
      <c r="C84" s="14" t="str">
        <f ca="1">VLOOKUP(D84,$J$1:$K$8,2,TRUE)</f>
        <v>Mort de causes naturelles</v>
      </c>
      <c r="D84" s="10">
        <f ca="1">RANDBETWEEN(1,20)</f>
        <v>13</v>
      </c>
      <c r="E84" s="10"/>
      <c r="F84" s="10" t="s">
        <v>43</v>
      </c>
      <c r="G84" s="10"/>
      <c r="H84" s="36"/>
    </row>
    <row r="85" spans="1:8">
      <c r="A85" s="29">
        <v>2</v>
      </c>
      <c r="B85" s="99"/>
      <c r="C85" s="15" t="s">
        <v>25</v>
      </c>
      <c r="D85" s="8"/>
      <c r="E85" s="8">
        <f ca="1">RANDBETWEEN(1,20)</f>
        <v>10</v>
      </c>
      <c r="F85" s="8"/>
      <c r="G85" s="8"/>
      <c r="H85" s="37"/>
    </row>
    <row r="86" spans="1:8" ht="15.75" thickBot="1">
      <c r="A86" s="30">
        <v>3</v>
      </c>
      <c r="B86" s="100"/>
      <c r="C86" s="16" t="str">
        <f ca="1">IF(D86=1,"Mort glorieuse à la bataille d'Eburacum. Passion Haine (Saxons) " &amp; E86,IF(D86&lt;16,"Mort à la bataille d'Eburacum. Passion Haine (Saxons) " &amp; E86,"A survécu à la bataille d'Eburacum. Passion Haine (Saxons) " &amp; E86 &amp; IF(E85=1,". Mort glorieuse à la bataille du Mont Damen",". Mort à la bataille du Mont Damen")))</f>
        <v>A survécu à la bataille d'Eburacum. Passion Haine (Saxons) 10. Mort à la bataille du Mont Damen</v>
      </c>
      <c r="D86" s="11">
        <f ca="1">RANDBETWEEN(1,20)</f>
        <v>17</v>
      </c>
      <c r="E86" s="11">
        <f ca="1">RANDBETWEEN(1,6)+6</f>
        <v>10</v>
      </c>
      <c r="F86" s="11" t="s">
        <v>43</v>
      </c>
      <c r="G86" s="11">
        <f ca="1">RANDBETWEEN(1,6)*30*0.5+IF(D86=1,1000,IF(E85=1,1000,0))</f>
        <v>90</v>
      </c>
      <c r="H86" s="38"/>
    </row>
  </sheetData>
  <mergeCells count="30">
    <mergeCell ref="B59:B61"/>
    <mergeCell ref="B62:B66"/>
    <mergeCell ref="B67:B69"/>
    <mergeCell ref="B84:B86"/>
    <mergeCell ref="B70:B72"/>
    <mergeCell ref="B73:B74"/>
    <mergeCell ref="B75:B77"/>
    <mergeCell ref="B78:B80"/>
    <mergeCell ref="B81:B83"/>
    <mergeCell ref="B33:B34"/>
    <mergeCell ref="B35:B36"/>
    <mergeCell ref="B37:B39"/>
    <mergeCell ref="B50:B54"/>
    <mergeCell ref="B56:B58"/>
    <mergeCell ref="J10:K10"/>
    <mergeCell ref="J1:K1"/>
    <mergeCell ref="J32:K32"/>
    <mergeCell ref="B22:B24"/>
    <mergeCell ref="B46:B48"/>
    <mergeCell ref="B2:B4"/>
    <mergeCell ref="B5:B9"/>
    <mergeCell ref="B13:B17"/>
    <mergeCell ref="B10:B12"/>
    <mergeCell ref="B18:B21"/>
    <mergeCell ref="B40:B41"/>
    <mergeCell ref="B42:B43"/>
    <mergeCell ref="B44:B45"/>
    <mergeCell ref="B25:B26"/>
    <mergeCell ref="B27:B30"/>
    <mergeCell ref="B31:B3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Intro</vt:lpstr>
      <vt:lpstr>Histoire familiale</vt:lpstr>
      <vt:lpstr>Famille</vt:lpstr>
      <vt:lpstr>Données</vt:lpstr>
    </vt:vector>
  </TitlesOfParts>
  <Company>APHP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PUAUD Christophe</dc:creator>
  <cp:lastModifiedBy>Christophe</cp:lastModifiedBy>
  <dcterms:created xsi:type="dcterms:W3CDTF">2015-10-20T10:53:17Z</dcterms:created>
  <dcterms:modified xsi:type="dcterms:W3CDTF">2016-02-02T20:55:17Z</dcterms:modified>
</cp:coreProperties>
</file>